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780CB782-B4E4-4527-A4C4-585C552659BE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A3" i="117" a="1"/>
  <c r="AF3" i="117" a="1"/>
  <c r="AB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Z3" i="117" a="1"/>
  <c r="AD3" i="117" a="1"/>
  <c r="AE3" i="117" a="1"/>
  <c r="X3" i="117" a="1"/>
  <c r="AC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<sst xmlns="http://schemas.openxmlformats.org/spreadsheetml/2006/main" count="2146" uniqueCount="596">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</sst>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51"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0"/>
        </patternFill>
      </fill>
    </dxf>
    <dxf>
      <font>
        <color theme="0"/>
      </font>
    </dxf>
    <dxf>
      <border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32" dataDxfId="30" headerRowBorderDxfId="31" tableBorderDxfId="29" totalsRowBorderDxfId="28">
  <autoFilter ref="B2:L27" xr:uid="{799FFB58-8181-4F51-8A1D-A8DE8C442C74}"/>
  <tableColumns count="11">
    <tableColumn id="1" xr3:uid="{E7212185-D43F-4C53-8600-E18724E06340}" name="Numero_Tavola" dataDxfId="27"/>
    <tableColumn id="2" xr3:uid="{375FF194-9ECB-47E5-925A-C3E0BA5AC6D2}" name="Variabile_1" dataDxfId="26"/>
    <tableColumn id="3" xr3:uid="{44518498-ECAD-4F0A-B457-CC980B990576}" name="Variabile_2" dataDxfId="25"/>
    <tableColumn id="4" xr3:uid="{26A94D43-1D17-44B2-BBE7-5E450FAD5FFD}" name="Variabile_3" dataDxfId="24"/>
    <tableColumn id="5" xr3:uid="{6E6134CB-5F1D-4A7C-B6F3-916A6CF610CE}" name="Variabile_4" dataDxfId="23"/>
    <tableColumn id="6" xr3:uid="{08023828-A0E3-48A6-A8DB-7FC418914280}" name="Variabile_5" dataDxfId="22"/>
    <tableColumn id="7" xr3:uid="{8F28E70D-0B83-4ACB-B027-921726511E03}" name="Variabile_6" dataDxfId="21"/>
    <tableColumn id="8" xr3:uid="{BF4428D0-5035-40FD-8CEB-4791DD718D66}" name="Variabile_7" dataDxfId="20"/>
    <tableColumn id="9" xr3:uid="{03BF9970-49C1-426E-9891-EFC126F474D7}" name="Variabile_8" dataDxfId="19"/>
    <tableColumn id="10" xr3:uid="{9B3307C8-4560-49CB-895E-BD472EDE1757}" name="Variabile_9" dataDxfId="18"/>
    <tableColumn id="11" xr3:uid="{4D0ABAB2-715D-449E-BB53-D50321E57C79}" name="Variabile_10" data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16" dataDxfId="14" headerRowBorderDxfId="15" tableBorderDxfId="13" totalsRowBorderDxfId="12">
  <autoFilter ref="B2:H25" xr:uid="{F215FADC-CC4F-465B-BEBD-9FA50B8DA43B}"/>
  <tableColumns count="7">
    <tableColumn id="1" xr3:uid="{A8629550-D1F5-4D57-A526-AE82F12206AE}" name="Sistema" dataDxfId="11">
      <calculatedColumnFormula>Titolo_descrizione!B3</calculatedColumnFormula>
    </tableColumn>
    <tableColumn id="9" xr3:uid="{4583A61B-036D-49EE-AB67-36EB4822BA55}" name="Colonna1" dataDxfId="10"/>
    <tableColumn id="2" xr3:uid="{75336D79-C92C-4919-B296-9568D5E04190}" name="1) " dataDxfId="9"/>
    <tableColumn id="3" xr3:uid="{6516A016-8A63-44FE-BD9E-DEC265DB47E5}" name="2) " dataDxfId="8"/>
    <tableColumn id="4" xr3:uid="{2D26B45C-DE5D-43C1-843D-456728FD05F0}" name="3) " dataDxfId="7"/>
    <tableColumn id="5" xr3:uid="{48AC8964-6CD5-4CBC-94D0-44BFC8B7B497}" name="4) " dataDxfId="6"/>
    <tableColumn id="6" xr3:uid="{B612D73C-F3A2-4DAB-BCBF-0E85A98A1EBA}" name="5) 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4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3" totalsRowDxfId="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" totalsRowDxfId="0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35" t="s">
        <v>58</v>
      </c>
      <c r="C1" s="227" t="str">
        <f>VLOOKUP(B1,Titolo_descrizione!B2:C51,2,FALSE)</f>
        <v>Applicazione di sistema a cappotto assemblato per pannello in resina fenolica</v>
      </c>
      <c r="D1" s="227"/>
      <c r="E1" s="227"/>
      <c r="F1" s="228"/>
      <c r="G1" s="140" t="s">
        <v>72</v>
      </c>
    </row>
    <row r="2" spans="1:12" ht="20.149999999999999" customHeight="1" thickBot="1" x14ac:dyDescent="0.3">
      <c r="A2" s="142"/>
      <c r="B2" s="236"/>
      <c r="C2" s="229"/>
      <c r="D2" s="229"/>
      <c r="E2" s="229"/>
      <c r="F2" s="230"/>
      <c r="G2" s="143" t="s">
        <v>85</v>
      </c>
    </row>
    <row r="3" spans="1:12" ht="20.149999999999999" customHeight="1" thickBot="1" x14ac:dyDescent="0.3">
      <c r="A3" s="142"/>
      <c r="B3" s="237"/>
      <c r="C3" s="229"/>
      <c r="D3" s="229"/>
      <c r="E3" s="229"/>
      <c r="F3" s="230"/>
      <c r="G3" s="144"/>
    </row>
    <row r="4" spans="1:12" ht="15" customHeight="1" x14ac:dyDescent="0.25">
      <c r="A4" s="223"/>
      <c r="B4" s="224"/>
      <c r="C4" s="224"/>
      <c r="D4" s="224"/>
      <c r="E4" s="145"/>
      <c r="F4" s="146"/>
      <c r="G4" s="231"/>
      <c r="I4" s="147"/>
      <c r="J4" s="147"/>
      <c r="L4" s="147"/>
    </row>
    <row r="5" spans="1:12" ht="15" customHeight="1" x14ac:dyDescent="0.25">
      <c r="A5" s="225"/>
      <c r="B5" s="226"/>
      <c r="C5" s="226"/>
      <c r="D5" s="226"/>
      <c r="E5" s="234"/>
      <c r="F5" s="234"/>
      <c r="G5" s="232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>Fondo di finitura</v>
      </c>
      <c r="F6" s="149" t="str">
        <f>IFERROR(VLOOKUP(Analisi_Voci!$B$1,Numero_Tavola7[#All],6,FALSE)," ")</f>
        <v>Intonachino a spessore</v>
      </c>
      <c r="G6" s="232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32"/>
    </row>
    <row r="8" spans="1:12" ht="15" customHeight="1" x14ac:dyDescent="0.25">
      <c r="A8" s="153"/>
      <c r="B8" s="154"/>
      <c r="C8" s="154"/>
      <c r="D8" s="154"/>
      <c r="E8" s="154"/>
      <c r="F8" s="155"/>
      <c r="G8" s="232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 t="str">
        <f>VLOOKUP(Analisi_Voci!$B$1,Numero_Tavola7[#All],9,FALSE)</f>
        <v>Tipologia tasselli</v>
      </c>
      <c r="D9" s="149" t="str">
        <f>VLOOKUP(Analisi_Voci!$B$1,Numero_Tavola7[#All],10,FALSE)</f>
        <v xml:space="preserve">Numero tasselli </v>
      </c>
      <c r="E9" s="149" t="str">
        <f>VLOOKUP(Analisi_Voci!$B$1,Var_voce!B2:L25,11,FALSE)</f>
        <v xml:space="preserve">Lunghezza tasselli </v>
      </c>
      <c r="F9" s="149"/>
      <c r="G9" s="232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32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33"/>
    </row>
    <row r="12" spans="1:12" ht="14" x14ac:dyDescent="0.3">
      <c r="A12" s="217" t="str">
        <f ca="1">IFERROR(VLOOKUP($B$1,PREZ,27,FALSE),"")</f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B12" s="218"/>
      <c r="C12" s="218"/>
      <c r="D12" s="218"/>
      <c r="E12" s="218"/>
      <c r="F12" s="218"/>
      <c r="G12" s="219"/>
      <c r="J12" s="161"/>
    </row>
    <row r="13" spans="1:12" ht="14" x14ac:dyDescent="0.3">
      <c r="A13" s="217"/>
      <c r="B13" s="218"/>
      <c r="C13" s="218"/>
      <c r="D13" s="218"/>
      <c r="E13" s="218"/>
      <c r="F13" s="218"/>
      <c r="G13" s="219"/>
      <c r="J13" s="161"/>
    </row>
    <row r="14" spans="1:12" ht="14" x14ac:dyDescent="0.3">
      <c r="A14" s="217"/>
      <c r="B14" s="218"/>
      <c r="C14" s="218"/>
      <c r="D14" s="218"/>
      <c r="E14" s="218"/>
      <c r="F14" s="218"/>
      <c r="G14" s="219"/>
      <c r="J14" s="161"/>
    </row>
    <row r="15" spans="1:12" ht="14" x14ac:dyDescent="0.3">
      <c r="A15" s="217"/>
      <c r="B15" s="218"/>
      <c r="C15" s="218"/>
      <c r="D15" s="218"/>
      <c r="E15" s="218"/>
      <c r="F15" s="218"/>
      <c r="G15" s="219"/>
      <c r="J15" s="161"/>
    </row>
    <row r="16" spans="1:12" ht="14" x14ac:dyDescent="0.3">
      <c r="A16" s="217"/>
      <c r="B16" s="218"/>
      <c r="C16" s="218"/>
      <c r="D16" s="218"/>
      <c r="E16" s="218"/>
      <c r="F16" s="218"/>
      <c r="G16" s="219"/>
      <c r="J16" s="161"/>
    </row>
    <row r="17" spans="1:18" ht="160.5" customHeight="1" thickBot="1" x14ac:dyDescent="0.3">
      <c r="A17" s="220"/>
      <c r="B17" s="221"/>
      <c r="C17" s="221"/>
      <c r="D17" s="221"/>
      <c r="E17" s="221"/>
      <c r="F17" s="221"/>
      <c r="G17" s="222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3" t="s">
        <v>11</v>
      </c>
      <c r="B19" s="204"/>
      <c r="C19" s="204"/>
      <c r="D19" s="168"/>
      <c r="E19" s="168"/>
      <c r="F19" s="164"/>
      <c r="G19" s="169"/>
    </row>
    <row r="20" spans="1:18" ht="15" customHeight="1" x14ac:dyDescent="0.3">
      <c r="A20" s="205" t="str">
        <f ca="1">IF(VLOOKUP($B$1,LAV,3,FALSE)=0,"",VLOOKUP($B$1,LAV,3,FALSE))</f>
        <v>Incollaggio dei pannelli termoisolanti</v>
      </c>
      <c r="B20" s="206"/>
      <c r="C20" s="206"/>
      <c r="D20" s="168"/>
      <c r="E20" s="170"/>
      <c r="F20" s="171"/>
      <c r="G20" s="172"/>
      <c r="I20" s="141" t="s">
        <v>5</v>
      </c>
      <c r="L20" s="196" t="e" cm="1">
        <f t="array" ref="L20">INDEX(lavorazioni_secondostrato,(VLOOKUP($B$1,lavorazioni_secondostrato,2,FALSE)+1),3)</f>
        <v>#NAME?</v>
      </c>
      <c r="M20" s="197"/>
      <c r="N20" s="197"/>
      <c r="O20" s="168"/>
      <c r="P20" s="170"/>
      <c r="Q20" s="171"/>
      <c r="R20" s="172"/>
    </row>
    <row r="21" spans="1:18" ht="15" customHeight="1" x14ac:dyDescent="0.3">
      <c r="A21" s="215" t="str">
        <f ca="1">IF(A20=0,"",$I$20)</f>
        <v>OPERAIO QUALIFICATO (MO1003)</v>
      </c>
      <c r="B21" s="216"/>
      <c r="C21" s="216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8" t="e">
        <f>IF(L20=0,"",$I$20)</f>
        <v>#NAME?</v>
      </c>
      <c r="M21" s="199"/>
      <c r="N21" s="199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6" t="str">
        <f ca="1">IF(VLOOKUP($B$1,LAV,4,FALSE)=0,"",VLOOKUP($B$1,LAV,4,FALSE))</f>
        <v>Tassellatura dei pannelli termoisolanti</v>
      </c>
      <c r="B22" s="197"/>
      <c r="C22" s="197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6" t="e" cm="1">
        <f t="array" ref="L22">INDEX(lavorazioni_secondostrato,(VLOOKUP($B$1,lavorazioni_secondostrato,2,FALSE)+1),4)</f>
        <v>#NAME?</v>
      </c>
      <c r="M22" s="197"/>
      <c r="N22" s="197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8" t="str">
        <f ca="1">IF(A22="","",$I$20)</f>
        <v>OPERAIO QUALIFICATO (MO1003)</v>
      </c>
      <c r="B23" s="199"/>
      <c r="C23" s="199"/>
      <c r="D23" s="173" t="str">
        <f t="shared" ca="1" si="0"/>
        <v>H/mq</v>
      </c>
      <c r="E23" s="184">
        <f t="shared" ca="1" si="1"/>
        <v>0</v>
      </c>
      <c r="F23" s="171">
        <f t="shared" ca="1" si="2"/>
        <v>29.25</v>
      </c>
      <c r="G23" s="172">
        <f t="shared" ca="1" si="5"/>
        <v>0</v>
      </c>
      <c r="L23" s="198" t="e">
        <f>IF(L22="","",$I$20)</f>
        <v>#NAME?</v>
      </c>
      <c r="M23" s="199"/>
      <c r="N23" s="199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6" t="str">
        <f ca="1">IF(VLOOKUP($B$1,LAV,5,FALSE)=0,"",VLOOKUP($B$1,LAV,5,FALSE))</f>
        <v>Realizzazione di rasatura armata</v>
      </c>
      <c r="B24" s="197"/>
      <c r="C24" s="197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6" t="e" cm="1">
        <f t="array" ref="L24">INDEX(lavorazioni_secondostrato,(VLOOKUP($B$1,lavorazioni_secondostrato,2,FALSE)+1),5)</f>
        <v>#NAME?</v>
      </c>
      <c r="M24" s="197"/>
      <c r="N24" s="197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8" t="str">
        <f ca="1">IF(A24="","",$I$20)</f>
        <v>OPERAIO QUALIFICATO (MO1003)</v>
      </c>
      <c r="B25" s="199"/>
      <c r="C25" s="199"/>
      <c r="D25" s="173" t="str">
        <f t="shared" ca="1" si="0"/>
        <v>H/mq</v>
      </c>
      <c r="E25" s="184">
        <f t="shared" ca="1" si="1"/>
        <v>0.2</v>
      </c>
      <c r="F25" s="171">
        <f t="shared" ca="1" si="2"/>
        <v>29.25</v>
      </c>
      <c r="G25" s="172">
        <f t="shared" ca="1" si="5"/>
        <v>5.8500000000000005</v>
      </c>
      <c r="L25" s="198" t="e">
        <f>IF(L24="","",$I$20)</f>
        <v>#NAME?</v>
      </c>
      <c r="M25" s="199"/>
      <c r="N25" s="199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6" t="str">
        <f ca="1">IF(VLOOKUP($B$1,LAV,6,FALSE)=0,"",VLOOKUP($B$1,LAV,6,FALSE))</f>
        <v>Applicazione del fondo</v>
      </c>
      <c r="B26" s="197"/>
      <c r="C26" s="197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6" t="e" cm="1">
        <f t="array" ref="L26">INDEX(lavorazioni_secondostrato,(VLOOKUP($B$1,lavorazioni_secondostrato,2,FALSE)+1),6)</f>
        <v>#NAME?</v>
      </c>
      <c r="M26" s="197"/>
      <c r="N26" s="197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8" t="str">
        <f ca="1">IF(A26="","",$I$20)</f>
        <v>OPERAIO QUALIFICATO (MO1003)</v>
      </c>
      <c r="B27" s="199"/>
      <c r="C27" s="199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8" t="e">
        <f>IF(L26="","",$I$20)</f>
        <v>#NAME?</v>
      </c>
      <c r="M27" s="199"/>
      <c r="N27" s="199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6" t="str">
        <f ca="1">IF(VLOOKUP($B$1,LAV,7,FALSE)=0,"",VLOOKUP($B$1,LAV,7,FALSE))</f>
        <v>Applicazione dell'intonachino di finitura</v>
      </c>
      <c r="B28" s="197"/>
      <c r="C28" s="197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6" t="e" cm="1">
        <f t="array" ref="L28">INDEX(lavorazioni_secondostrato,(VLOOKUP($B$1,lavorazioni_secondostrato,2,FALSE)+1),7)</f>
        <v>#NAME?</v>
      </c>
      <c r="M28" s="197"/>
      <c r="N28" s="197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8" t="str">
        <f ca="1">IF(A28="","",$I$20)</f>
        <v>OPERAIO QUALIFICATO (MO1003)</v>
      </c>
      <c r="B29" s="199"/>
      <c r="C29" s="199"/>
      <c r="D29" s="173" t="str">
        <f t="shared" ca="1" si="0"/>
        <v>H/mq</v>
      </c>
      <c r="E29" s="184">
        <f t="shared" ca="1" si="1"/>
        <v>0.15</v>
      </c>
      <c r="F29" s="171">
        <f t="shared" ca="1" si="2"/>
        <v>29.25</v>
      </c>
      <c r="G29" s="172">
        <f t="shared" ca="1" si="5"/>
        <v>4.3875000000000002</v>
      </c>
      <c r="L29" s="198" t="e">
        <f>IF(L28="","",$I$20)</f>
        <v>#NAME?</v>
      </c>
      <c r="M29" s="199"/>
      <c r="N29" s="199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6" t="str">
        <f ca="1">IF(VLOOKUP($B$1,LAV,8,FALSE)=0,"",VLOOKUP($B$1,LAV,8,FALSE))</f>
        <v/>
      </c>
      <c r="B30" s="197"/>
      <c r="C30" s="197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6" t="e" cm="1">
        <f t="array" ref="L30">INDEX(lavorazioni_secondostrato,(VLOOKUP($B$1,lavorazioni_secondostrato,2,FALSE)+1),8)</f>
        <v>#NAME?</v>
      </c>
      <c r="M30" s="197"/>
      <c r="N30" s="197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8" t="str">
        <f ca="1">IF(A30="","",$I$20)</f>
        <v/>
      </c>
      <c r="B31" s="199"/>
      <c r="C31" s="199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8" t="e">
        <f>IF(L30="","",$I$20)</f>
        <v>#NAME?</v>
      </c>
      <c r="M31" s="199"/>
      <c r="N31" s="199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8" t="str">
        <f ca="1">IF(A31=$I$20,$I$21,"")</f>
        <v/>
      </c>
      <c r="B32" s="199"/>
      <c r="C32" s="199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8" t="e">
        <f>IF(L31=$I$20,$I$21,"")</f>
        <v>#NAME?</v>
      </c>
      <c r="M32" s="199"/>
      <c r="N32" s="199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6" t="str">
        <f ca="1">IF(VLOOKUP($B$1,LAV,9,FALSE)=0,"",VLOOKUP($B$1,LAV,9,FALSE))</f>
        <v/>
      </c>
      <c r="B33" s="197"/>
      <c r="C33" s="197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6" t="e" cm="1">
        <f t="array" ref="L33">INDEX(lavorazioni_secondostrato,(VLOOKUP($B$1,lavorazioni_secondostrato,2,FALSE)+1),9)</f>
        <v>#NAME?</v>
      </c>
      <c r="M33" s="197"/>
      <c r="N33" s="197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8" t="str">
        <f ca="1">IF(A33="","",$I$20)</f>
        <v/>
      </c>
      <c r="B34" s="199"/>
      <c r="C34" s="199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8" t="e">
        <f>IF(L33="","",$I$20)</f>
        <v>#NAME?</v>
      </c>
      <c r="M34" s="199"/>
      <c r="N34" s="199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8" t="str">
        <f ca="1">IF(A34=$I$20,$I$21,"")</f>
        <v/>
      </c>
      <c r="B35" s="199"/>
      <c r="C35" s="199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8" t="e">
        <f>IF(L34=$I$20,$I$21,"")</f>
        <v>#NAME?</v>
      </c>
      <c r="M35" s="199"/>
      <c r="N35" s="199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6" t="str">
        <f ca="1">IF(VLOOKUP($B$1,LAV,10,FALSE)=0,"",VLOOKUP($B$1,LAV,10,FALSE))</f>
        <v/>
      </c>
      <c r="B36" s="197"/>
      <c r="C36" s="197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6" t="e" cm="1">
        <f t="array" ref="L36">INDEX(lavorazioni_secondostrato,(VLOOKUP($B$1,lavorazioni_secondostrato,2,FALSE)+1),10)</f>
        <v>#NAME?</v>
      </c>
      <c r="M36" s="197"/>
      <c r="N36" s="197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8" t="str">
        <f ca="1">IF(A36="","",$I$20)</f>
        <v/>
      </c>
      <c r="B37" s="199"/>
      <c r="C37" s="199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8" t="e">
        <f>IF(L36="","",$I$20)</f>
        <v>#NAME?</v>
      </c>
      <c r="M37" s="199"/>
      <c r="N37" s="199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8" t="str">
        <f ca="1">IF(A37=$I$20,$I$21,"")</f>
        <v/>
      </c>
      <c r="B38" s="199"/>
      <c r="C38" s="199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8" t="e">
        <f>IF(L37=$I$20,$I$21,"")</f>
        <v>#NAME?</v>
      </c>
      <c r="M38" s="199"/>
      <c r="N38" s="199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6" t="str">
        <f ca="1">IF(VLOOKUP($B$1,LAV,11,FALSE)=0,"",VLOOKUP($B$1,LAV,11,FALSE))</f>
        <v/>
      </c>
      <c r="B39" s="197"/>
      <c r="C39" s="197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6" t="e" cm="1">
        <f t="array" ref="L39">INDEX(lavorazioni_secondostrato,(VLOOKUP($B$1,lavorazioni_secondostrato,2,FALSE)+1),11)</f>
        <v>#NAME?</v>
      </c>
      <c r="M39" s="197"/>
      <c r="N39" s="197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8" t="str">
        <f ca="1">IF(A39="","",$I$20)</f>
        <v/>
      </c>
      <c r="B40" s="199"/>
      <c r="C40" s="199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8" t="e">
        <f>IF(L39="","",$I$20)</f>
        <v>#NAME?</v>
      </c>
      <c r="M40" s="199"/>
      <c r="N40" s="199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8" t="str">
        <f ca="1">IF(A40=$I$20,$I$21,"")</f>
        <v/>
      </c>
      <c r="B41" s="199"/>
      <c r="C41" s="199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8" t="e">
        <f>IF(L40=$I$20,$I$21,"")</f>
        <v>#NAME?</v>
      </c>
      <c r="M41" s="199"/>
      <c r="N41" s="199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6" t="str">
        <f ca="1">IF(VLOOKUP($B$1,LAV,12,FALSE)=0,"",VLOOKUP($B$1,LAV,12,FALSE))</f>
        <v/>
      </c>
      <c r="B42" s="197"/>
      <c r="C42" s="197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6" t="e" cm="1">
        <f t="array" ref="L42">INDEX(lavorazioni_secondostrato,(VLOOKUP($B$1,lavorazioni_secondostrato,2,FALSE)+1),12)</f>
        <v>#NAME?</v>
      </c>
      <c r="M42" s="197"/>
      <c r="N42" s="197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8" t="str">
        <f ca="1">IF(A42="","",$I$20)</f>
        <v/>
      </c>
      <c r="B43" s="199"/>
      <c r="C43" s="199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8" t="e">
        <f>IF(L42="","",$I$20)</f>
        <v>#NAME?</v>
      </c>
      <c r="M43" s="199"/>
      <c r="N43" s="199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8" t="str">
        <f ca="1">IF(A43=$I$20,$I$21,"")</f>
        <v/>
      </c>
      <c r="B44" s="199"/>
      <c r="C44" s="199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8" t="e">
        <f>IF(L43=$I$20,$I$21,"")</f>
        <v>#NAME?</v>
      </c>
      <c r="M44" s="199"/>
      <c r="N44" s="199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6"/>
      <c r="B45" s="197"/>
      <c r="C45" s="197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6" t="e" cm="1">
        <f t="array" ref="L45">INDEX(lavorazioni_secondostrato,(VLOOKUP($B$1,lavorazioni_secondostrato,2,FALSE)+1),12)</f>
        <v>#NAME?</v>
      </c>
      <c r="M45" s="197"/>
      <c r="N45" s="197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4"/>
      <c r="B46" s="195"/>
      <c r="C46" s="195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4"/>
      <c r="M46" s="195"/>
      <c r="N46" s="195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4"/>
      <c r="B47" s="195"/>
      <c r="C47" s="195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4"/>
      <c r="M47" s="195"/>
      <c r="N47" s="195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4"/>
      <c r="B48" s="195"/>
      <c r="C48" s="195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6" t="e" cm="1">
        <f t="array" ref="L48">INDEX(lavorazioni_secondostrato,(VLOOKUP($B$1,lavorazioni_secondostrato,2,FALSE)+1),13)</f>
        <v>#NAME?</v>
      </c>
      <c r="M48" s="197"/>
      <c r="N48" s="197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4"/>
      <c r="B49" s="195"/>
      <c r="C49" s="195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4"/>
      <c r="M49" s="195"/>
      <c r="N49" s="195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4"/>
      <c r="B50" s="195"/>
      <c r="C50" s="195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4"/>
      <c r="M50" s="195"/>
      <c r="N50" s="195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4"/>
      <c r="B51" s="195"/>
      <c r="C51" s="195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4"/>
      <c r="M51" s="195"/>
      <c r="N51" s="195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4"/>
      <c r="B52" s="195"/>
      <c r="C52" s="195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4"/>
      <c r="M52" s="195"/>
      <c r="N52" s="195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3" t="s">
        <v>12</v>
      </c>
      <c r="B53" s="204"/>
      <c r="C53" s="204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 xml:space="preserve">Tassello a percussione Acciaio/Nylon </v>
      </c>
      <c r="B55" s="180"/>
      <c r="C55" s="164"/>
      <c r="D55" s="173" t="str">
        <f t="shared" ca="1" si="8"/>
        <v/>
      </c>
      <c r="E55" s="184" t="str">
        <f ca="1">IFERROR(IF(VLOOKUP(_xlfn.CONCAT(A55,B55),calcolo_prodotti[],3,FALSE)=0,"",VLOOKUP(_xlfn.CONCAT(A55,B55),calcolo_prodotti[],3,FALSE)),"")</f>
        <v/>
      </c>
      <c r="F55" s="171" t="str">
        <f t="shared" ca="1" si="9"/>
        <v/>
      </c>
      <c r="G55" s="172" t="str">
        <f t="shared" ref="G55:G66" ca="1" si="10" xml:space="preserve"> IFERROR(F55*E55,"")</f>
        <v/>
      </c>
    </row>
    <row r="56" spans="1:18" ht="15" customHeight="1" x14ac:dyDescent="0.3">
      <c r="A56" s="179" t="str">
        <f ca="1">IF(VLOOKUP($B$1,PR,4,FALSE)=0,"",VLOOKUP($B$1,PR,4,FALSE))</f>
        <v>Keraklima Eco Granello (Rasante)</v>
      </c>
      <c r="B56" s="180"/>
      <c r="C56" s="164"/>
      <c r="D56" s="173" t="str">
        <f t="shared" ca="1" si="8"/>
        <v>kg/mq</v>
      </c>
      <c r="E56" s="184">
        <f ca="1">IFERROR(IF(VLOOKUP(_xlfn.CONCAT(A56,B56),calcolo_prodotti[],3,FALSE)=0,"",VLOOKUP(_xlfn.CONCAT(A56,B56),calcolo_prodotti[],3,FALSE)),"")</f>
        <v>8</v>
      </c>
      <c r="F56" s="171">
        <f t="shared" ca="1" si="9"/>
        <v>0.95</v>
      </c>
      <c r="G56" s="172">
        <f t="shared" ca="1" si="10"/>
        <v>7.6</v>
      </c>
    </row>
    <row r="57" spans="1:18" ht="15" customHeight="1" x14ac:dyDescent="0.3">
      <c r="A57" s="179" t="str">
        <f ca="1">IF(VLOOKUP($B$1,PR,5,FALSE)=0,"",VLOOKUP($B$1,PR,5,FALSE))</f>
        <v>Rinforzo V50</v>
      </c>
      <c r="B57" s="164"/>
      <c r="C57" s="181"/>
      <c r="D57" s="173" t="str">
        <f t="shared" ca="1" si="8"/>
        <v>mq/mq</v>
      </c>
      <c r="E57" s="184">
        <f ca="1">IFERROR(IF(VLOOKUP(_xlfn.CONCAT(A57,B57),calcolo_prodotti[],3,FALSE)=0,"",VLOOKUP(_xlfn.CONCAT(A57,B57),calcolo_prodotti[],3,FALSE)),"")</f>
        <v>1.1000000000000001</v>
      </c>
      <c r="F57" s="171">
        <f t="shared" ca="1" si="9"/>
        <v>1.81</v>
      </c>
      <c r="G57" s="172">
        <f t="shared" ca="1" si="10"/>
        <v>1.9910000000000003</v>
      </c>
    </row>
    <row r="58" spans="1:18" ht="15" customHeight="1" x14ac:dyDescent="0.3">
      <c r="A58" s="179" t="str">
        <f ca="1">IF(VLOOKUP($B$1,PR,6,FALSE)=0,"",VLOOKUP($B$1,PR,6,FALSE))</f>
        <v>Kerakover Acrilex Fondo</v>
      </c>
      <c r="B58" s="164"/>
      <c r="C58" s="181"/>
      <c r="D58" s="173" t="str">
        <f t="shared" ca="1" si="8"/>
        <v>l/mq</v>
      </c>
      <c r="E58" s="184">
        <f ca="1">IFERROR(IF(VLOOKUP(_xlfn.CONCAT(A58,B58),calcolo_prodotti[],3,FALSE)=0,"",VLOOKUP(_xlfn.CONCAT(A58,B58),calcolo_prodotti[],3,FALSE)),"")</f>
        <v>0.2</v>
      </c>
      <c r="F58" s="171">
        <f t="shared" ca="1" si="9"/>
        <v>8.8000000000000007</v>
      </c>
      <c r="G58" s="172">
        <f t="shared" ca="1" si="10"/>
        <v>1.7600000000000002</v>
      </c>
    </row>
    <row r="59" spans="1:18" ht="15" customHeight="1" x14ac:dyDescent="0.3">
      <c r="A59" s="179" t="str">
        <f ca="1">IF(VLOOKUP($B$1,PR,7,FALSE)=0,"",VLOOKUP($B$1,PR,7,FALSE))</f>
        <v>Kerakover Acrilex Finish 1.0 Colorato B</v>
      </c>
      <c r="B59" s="164"/>
      <c r="C59" s="181"/>
      <c r="D59" s="173" t="str">
        <f t="shared" ca="1" si="8"/>
        <v>kg/mq</v>
      </c>
      <c r="E59" s="184">
        <f ca="1">IFERROR(IF(VLOOKUP(_xlfn.CONCAT(A59,B59),calcolo_prodotti[],3,FALSE)=0,"",VLOOKUP(_xlfn.CONCAT(A59,B59),calcolo_prodotti[],3,FALSE)),"")</f>
        <v>1.8</v>
      </c>
      <c r="F59" s="171">
        <f t="shared" ca="1" si="9"/>
        <v>3.38</v>
      </c>
      <c r="G59" s="172">
        <f t="shared" ca="1" si="10"/>
        <v>6.0839999999999996</v>
      </c>
    </row>
    <row r="60" spans="1:18" ht="15" customHeight="1" x14ac:dyDescent="0.3">
      <c r="A60" s="179" t="str">
        <f ca="1">IF(VLOOKUP($B$1,PR,8,FALSE)=0,"",VLOOKUP($B$1,PR,8,FALSE))</f>
        <v/>
      </c>
      <c r="B60" s="164"/>
      <c r="C60" s="182"/>
      <c r="D60" s="173" t="str">
        <f t="shared" ca="1" si="8"/>
        <v/>
      </c>
      <c r="E60" s="184" t="str">
        <f ca="1">IFERROR(IF(VLOOKUP(_xlfn.CONCAT(A60,B60),calcolo_prodotti[],3,FALSE)=0,"",VLOOKUP(_xlfn.CONCAT(A60,B60),calcolo_prodotti[],3,FALSE)),"")</f>
        <v/>
      </c>
      <c r="F60" s="171" t="str">
        <f t="shared" ca="1" si="9"/>
        <v/>
      </c>
      <c r="G60" s="172" t="str">
        <f t="shared" ca="1" si="10"/>
        <v/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22.984999999999999</v>
      </c>
    </row>
    <row r="68" spans="1:9" ht="15" customHeight="1" x14ac:dyDescent="0.3">
      <c r="A68" s="203" t="s">
        <v>14</v>
      </c>
      <c r="B68" s="204"/>
      <c r="C68" s="204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15.16</v>
      </c>
      <c r="F70" s="186">
        <f>0.02</f>
        <v>0.02</v>
      </c>
      <c r="G70" s="172">
        <f ca="1" xml:space="preserve"> F70*E70</f>
        <v>0.30320000000000003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1.9032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45.363199999999999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7.7117440000000004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5.3074944000000004</v>
      </c>
      <c r="I74" s="187"/>
    </row>
    <row r="75" spans="1:9" ht="15" customHeight="1" thickBot="1" x14ac:dyDescent="0.3">
      <c r="A75" s="200" t="s">
        <v>595</v>
      </c>
      <c r="B75" s="201"/>
      <c r="C75" s="201"/>
      <c r="D75" s="201"/>
      <c r="E75" s="201"/>
      <c r="F75" s="201"/>
      <c r="G75" s="202"/>
    </row>
    <row r="76" spans="1:9" ht="33" customHeight="1" thickBot="1" x14ac:dyDescent="0.3">
      <c r="A76" s="190"/>
      <c r="B76" s="214" t="s">
        <v>49</v>
      </c>
      <c r="C76" s="214"/>
      <c r="D76" s="213" t="s">
        <v>48</v>
      </c>
      <c r="E76" s="213"/>
      <c r="F76" s="213"/>
      <c r="G76" s="191">
        <f ca="1">G72+G73+G74</f>
        <v>58.382438400000005</v>
      </c>
    </row>
    <row r="77" spans="1:9" ht="13" thickBot="1" x14ac:dyDescent="0.3"/>
    <row r="78" spans="1:9" s="192" customFormat="1" ht="18" x14ac:dyDescent="0.4">
      <c r="A78" s="207" t="s">
        <v>18</v>
      </c>
      <c r="B78" s="208"/>
      <c r="C78" s="208"/>
      <c r="D78" s="208"/>
      <c r="E78" s="208"/>
      <c r="F78" s="208"/>
      <c r="G78" s="209"/>
    </row>
    <row r="79" spans="1:9" s="192" customFormat="1" ht="260" customHeight="1" thickBot="1" x14ac:dyDescent="0.3">
      <c r="A79" s="210" t="str">
        <f ca="1">IFERROR(VLOOKUP($B$1,PREZ,31,FALSE),"")</f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  <c r="B79" s="211"/>
      <c r="C79" s="211"/>
      <c r="D79" s="211"/>
      <c r="E79" s="211"/>
      <c r="F79" s="211"/>
      <c r="G79" s="212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  <mergeCell ref="A19:C19"/>
    <mergeCell ref="A12:G17"/>
    <mergeCell ref="A4:D5"/>
    <mergeCell ref="C1:F3"/>
    <mergeCell ref="G4:G11"/>
    <mergeCell ref="E5:F5"/>
    <mergeCell ref="B1:B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32:N32"/>
    <mergeCell ref="L33:N33"/>
    <mergeCell ref="L34:N34"/>
    <mergeCell ref="L35:N35"/>
    <mergeCell ref="L36:N36"/>
    <mergeCell ref="L37:N37"/>
    <mergeCell ref="L38:N38"/>
    <mergeCell ref="L39:N39"/>
    <mergeCell ref="L40:N40"/>
    <mergeCell ref="L41:N41"/>
    <mergeCell ref="L42:N42"/>
    <mergeCell ref="L43:N43"/>
    <mergeCell ref="L44:N44"/>
    <mergeCell ref="L45:N45"/>
    <mergeCell ref="L46:N46"/>
    <mergeCell ref="L52:N52"/>
    <mergeCell ref="L47:N47"/>
    <mergeCell ref="L48:N48"/>
    <mergeCell ref="L49:N49"/>
    <mergeCell ref="L50:N50"/>
    <mergeCell ref="L51:N51"/>
  </mergeCells>
  <conditionalFormatting sqref="F6 E9:E10 A8:D10 A6:C7 E6:E7">
    <cfRule type="cellIs" dxfId="50" priority="26" operator="equal">
      <formula>0</formula>
    </cfRule>
  </conditionalFormatting>
  <conditionalFormatting sqref="A7:C7 E7">
    <cfRule type="expression" dxfId="49" priority="25">
      <formula>ISBLANK(A7)</formula>
    </cfRule>
  </conditionalFormatting>
  <conditionalFormatting sqref="A6:A7 A9:E9 A6:C6 E6:F6">
    <cfRule type="expression" dxfId="48" priority="23">
      <formula>ISTEXT(A6)</formula>
    </cfRule>
  </conditionalFormatting>
  <conditionalFormatting sqref="A9:E9">
    <cfRule type="expression" dxfId="47" priority="22">
      <formula>ISTEXT(A9)</formula>
    </cfRule>
  </conditionalFormatting>
  <conditionalFormatting sqref="F9:F10">
    <cfRule type="cellIs" dxfId="46" priority="17" operator="equal">
      <formula>0</formula>
    </cfRule>
  </conditionalFormatting>
  <conditionalFormatting sqref="F9:F10">
    <cfRule type="expression" dxfId="45" priority="15">
      <formula>ISTEXT(F9)</formula>
    </cfRule>
  </conditionalFormatting>
  <conditionalFormatting sqref="A6:C6 E6:F6">
    <cfRule type="cellIs" dxfId="44" priority="10" operator="equal">
      <formula>""</formula>
    </cfRule>
  </conditionalFormatting>
  <conditionalFormatting sqref="A10:E10 A7:C7 E7:F7">
    <cfRule type="expression" dxfId="43" priority="11">
      <formula>ISNUMBER(A7)</formula>
    </cfRule>
    <cfRule type="expression" dxfId="42" priority="21">
      <formula>ISTEXT(A7)</formula>
    </cfRule>
  </conditionalFormatting>
  <conditionalFormatting sqref="F7">
    <cfRule type="cellIs" dxfId="41" priority="9" operator="equal">
      <formula>0</formula>
    </cfRule>
  </conditionalFormatting>
  <conditionalFormatting sqref="F7">
    <cfRule type="expression" dxfId="40" priority="8">
      <formula>ISBLANK(F7)</formula>
    </cfRule>
  </conditionalFormatting>
  <conditionalFormatting sqref="D7">
    <cfRule type="expression" dxfId="39" priority="1">
      <formula>ISNUMBER(D7)</formula>
    </cfRule>
    <cfRule type="expression" dxfId="38" priority="2">
      <formula>ISTEXT(D7)</formula>
    </cfRule>
  </conditionalFormatting>
  <conditionalFormatting sqref="D6">
    <cfRule type="cellIs" dxfId="37" priority="7" operator="equal">
      <formula>0</formula>
    </cfRule>
  </conditionalFormatting>
  <conditionalFormatting sqref="D6">
    <cfRule type="expression" dxfId="36" priority="6">
      <formula>ISTEXT(D6)</formula>
    </cfRule>
  </conditionalFormatting>
  <conditionalFormatting sqref="D6">
    <cfRule type="cellIs" dxfId="35" priority="5" operator="equal">
      <formula>""</formula>
    </cfRule>
  </conditionalFormatting>
  <conditionalFormatting sqref="D7">
    <cfRule type="cellIs" dxfId="34" priority="4" operator="equal">
      <formula>0</formula>
    </cfRule>
  </conditionalFormatting>
  <conditionalFormatting sqref="D7">
    <cfRule type="expression" dxfId="33" priority="3">
      <formula>ISBLANK(D7)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" ca="1">IFERROR(INDIRECT(VLOOKUP(Analisi_Voci!B1,B3:O25,14,FALSE)),"Nessuno")</f>
        <v>Nessuno</v>
      </c>
      <c r="Y3" s="72" t="str" cm="1">
        <f t="array" aca="1" ref="Y3:Y9" ca="1">INDIRECT(VLOOKUP(Analisi_Voci!B1,B3:P25,15,FALSE))</f>
        <v>Keraklima Eco Bianco</v>
      </c>
      <c r="Z3" s="19" t="str" cm="1">
        <f t="array" aca="1" ref="Z3:Z4" ca="1">INDIRECT(VLOOKUP(Analisi_Voci!B1,B3:V27,16,FALSE))</f>
        <v>Rinforzo V50</v>
      </c>
      <c r="AA3" s="19" t="str" cm="1">
        <f t="array" aca="1" ref="AA3:AA10" ca="1">INDIRECT(VLOOKUP(Analisi_Voci!B1,B3:V27,17,FALSE))</f>
        <v>Keraklima Eco Bianco</v>
      </c>
      <c r="AB3" s="19" t="str" cm="1">
        <f t="array" aca="1" ref="AB3:AB5" ca="1">INDIRECT(VLOOKUP(Analisi_Voci!$B$1,$B$3:$V$27,18,FALSE))</f>
        <v>Kerakover Silox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:AF8" ca="1">IFERROR(INDIRECT(VLOOKUP(Analisi_Voci!$B$1,$B$3:$W$27,22,FALSE)),"Nessuno")</f>
        <v>Tassello Avvitabile Acciaio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/>
      <c r="Y4" s="72" t="str">
        <f ca="1"/>
        <v>Keraklima Eco Grigio</v>
      </c>
      <c r="Z4" s="19" t="str">
        <f ca="1"/>
        <v>Rinforzo V40</v>
      </c>
      <c r="AA4" s="19" t="str">
        <f ca="1"/>
        <v>Keraklima Eco Grigio</v>
      </c>
      <c r="AB4" s="19" t="str">
        <f ca="1"/>
        <v>Kerakover Acrilex Fondo</v>
      </c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 t="str">
        <f ca="1"/>
        <v>Tassello a percussione Acciaio/Nylon</v>
      </c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/>
      <c r="Y5" s="20" t="str">
        <f ca="1"/>
        <v>Keraklima Eco Granello</v>
      </c>
      <c r="Z5" s="19"/>
      <c r="AA5" s="19" t="str">
        <f ca="1"/>
        <v>Keraklima Eco Granello</v>
      </c>
      <c r="AB5" s="19" t="str">
        <f ca="1"/>
        <v xml:space="preserve">Biocalce Silicato Fondo </v>
      </c>
      <c r="AC5" s="19"/>
      <c r="AD5" s="20" t="str">
        <f ca="1"/>
        <v>1.5</v>
      </c>
      <c r="AE5" s="20" t="str">
        <f ca="1"/>
        <v>Colorato A</v>
      </c>
      <c r="AF5" s="20" t="str">
        <f ca="1"/>
        <v>Tassello a percussione Nylon</v>
      </c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/>
      <c r="Y6" s="72" t="str">
        <f ca="1"/>
        <v>Klima Flex</v>
      </c>
      <c r="Z6" s="19"/>
      <c r="AA6" s="19" t="str">
        <f ca="1"/>
        <v>Klima Flex</v>
      </c>
      <c r="AB6" s="19"/>
      <c r="AC6" s="20"/>
      <c r="AD6" s="20"/>
      <c r="AE6" s="20" t="str">
        <f ca="1"/>
        <v>Colorato AA</v>
      </c>
      <c r="AF6" s="20" t="str">
        <f ca="1"/>
        <v>Tassello a scomparsa EcoTwist</v>
      </c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/>
      <c r="Y7" s="72" t="str">
        <f ca="1"/>
        <v>Klima Light</v>
      </c>
      <c r="Z7" s="19"/>
      <c r="AA7" s="19" t="str">
        <f ca="1"/>
        <v>Klima Light</v>
      </c>
      <c r="AB7" s="20"/>
      <c r="AC7" s="20"/>
      <c r="AD7" s="20"/>
      <c r="AE7" s="20"/>
      <c r="AF7" s="20" t="str">
        <f ca="1"/>
        <v>Tassello SGR a percussione Acciaio/Nylon</v>
      </c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/>
      <c r="Y8" s="20" t="str">
        <f ca="1"/>
        <v>Klima Fix Bianco</v>
      </c>
      <c r="Z8" s="19"/>
      <c r="AA8" s="19" t="str">
        <f ca="1"/>
        <v>Klima Fix Bianco</v>
      </c>
      <c r="AB8" s="20"/>
      <c r="AC8" s="20"/>
      <c r="AD8" s="20"/>
      <c r="AE8" s="20"/>
      <c r="AF8" s="20" t="str">
        <f ca="1"/>
        <v>Tassello SGR a percussione Nylon</v>
      </c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/>
      <c r="Y9" s="20" t="str">
        <f ca="1"/>
        <v>Klima Fix Grigio</v>
      </c>
      <c r="Z9" s="19"/>
      <c r="AA9" s="19" t="str">
        <f ca="1"/>
        <v>Klima Fix Grigio</v>
      </c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/>
      <c r="Y10" s="22"/>
      <c r="Z10" s="19"/>
      <c r="AA10" s="19" t="str">
        <f ca="1"/>
        <v>Klima HP</v>
      </c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/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/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/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/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0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8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0.16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0.2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1.8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0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15.16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2025-07-30T14:10:13Z</dcterms:modified>
</cp:coreProperties>
</file>