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https://kerakollspa-my.sharepoint.com/personal/stefania_pitzianti_kerakoll_com/Documents/Analisi prezzo e voci capitolato/AP Singole ETICS/"/>
    </mc:Choice>
  </mc:AlternateContent>
  <xr:revisionPtr revIDLastSave="0" documentId="8_{BF7A8755-7E5B-4E1B-9572-D4CB807DDF02}" xr6:coauthVersionLast="47" xr6:coauthVersionMax="47" xr10:uidLastSave="{00000000-0000-0000-0000-000000000000}"/>
  <workbookProtection workbookAlgorithmName="SHA-512" workbookHashValue="aL+KSE+JhXXIMsGcVVDRwNvTrTN7crHMvhtowArlQlfakN+DGpRAwbnnUB9cdXRP51IVdqi7gWA2KD3hcV6AWA==" workbookSaltValue="QAyLmkrmt2jI/VRHW3Fw6Q==" workbookSpinCount="100000" lockStructure="1"/>
  <bookViews>
    <workbookView xWindow="-110" yWindow="-110" windowWidth="19420" windowHeight="10300" xr2:uid="{00000000-000D-0000-FFFF-FFFF00000000}"/>
  </bookViews>
  <sheets>
    <sheet name="Analisi_Voci" sheetId="102" r:id="rId1"/>
    <sheet name="Titolo_descrizione" sheetId="131" state="hidden" r:id="rId2"/>
    <sheet name="Voce_prezzo" sheetId="132" state="hidden" r:id="rId3"/>
    <sheet name="Var_voce" sheetId="117" state="hidden" r:id="rId4"/>
    <sheet name="Caratteristiche_materiali" sheetId="118" state="hidden" r:id="rId5"/>
    <sheet name="Lavorazioni" sheetId="122" state="hidden" r:id="rId6"/>
    <sheet name="Prodotti" sheetId="133" state="hidden" r:id="rId7"/>
    <sheet name="Calcoli quant prodotti" sheetId="128" state="hidden" r:id="rId8"/>
    <sheet name="Unità misura e prezzi" sheetId="126" state="hidden" r:id="rId9"/>
  </sheets>
  <definedNames>
    <definedName name="_xlnm._FilterDatabase" localSheetId="0" hidden="1">Analisi_Voci!$A$18:$O$51</definedName>
    <definedName name="AD_1">Var_voce!$X$52:$X$58</definedName>
    <definedName name="AD_2">Var_voce!$Y$52</definedName>
    <definedName name="AD_3">Var_voce!$Z$52:$Z$55</definedName>
    <definedName name="AD_4">Var_voce!$AA$52:$AA$58</definedName>
    <definedName name="C_1">Var_voce!$Z$70:$Z$73</definedName>
    <definedName name="C_2">Var_voce!$AA$70:$AA$74</definedName>
    <definedName name="CAR_MAT">OFFSET(Caratteristiche_materiali!$A$2,0,0,COUNTA(Caratteristiche_materiali!$A:$A),10)</definedName>
    <definedName name="F_1">Var_voce!$X$63</definedName>
    <definedName name="F_2">Var_voce!$Z$63:$Z$65</definedName>
    <definedName name="G_1">Var_voce!$X$70:$X$72</definedName>
    <definedName name="G_2">Var_voce!$Y$70:$Y$71</definedName>
    <definedName name="I_1">Var_voce!$Y$63:$Y$64</definedName>
    <definedName name="I_2">Var_voce!$AA$63</definedName>
    <definedName name="I_3">Var_voce!$AB$63</definedName>
    <definedName name="IMM">VLOOKUP(Analisi_Voci!$B$1,Titolo_descrizione!XFA1048576:$D$22,3,FALSE)</definedName>
    <definedName name="LAV">OFFSET(Lavorazioni!$B$3,0,0,COUNTA(Lavorazioni!$B:$B)-1,15)</definedName>
    <definedName name="NOP">Var_voce!$AD$37</definedName>
    <definedName name="NTAS">Var_voce!$X$95:$X$98</definedName>
    <definedName name="PR">OFFSET(Prodotti!$B$3,0,0,COUNTA(Prodotti!$B:$B)-1,22)</definedName>
    <definedName name="PREZ">OFFSET(Voce_prezzo!$B$2,1,0,COUNTA(Voce_prezzo!$B:$B)-1,32)</definedName>
    <definedName name="PRZ">OFFSET('Unità misura e prezzi'!$B$3,0,0,COUNTA('Unità misura e prezzi'!$B:$B)-1,9)</definedName>
    <definedName name="QTA">OFFSET(Lavorazioni!$V$2,0,0,COUNTA(Lavorazioni!$V:$V),2)</definedName>
    <definedName name="QTPR">OFFSET('Calcoli quant prodotti'!$B$3,0,0,COUNTA('Calcoli quant prodotti'!$B:$B)-1,3)</definedName>
    <definedName name="R_1">Var_voce!$AC$52</definedName>
    <definedName name="R_2">Var_voce!$AB$52:$AB$53</definedName>
    <definedName name="RA_1">Var_voce!$AD$52:$AD$58</definedName>
    <definedName name="RA_2">Var_voce!$AE$52</definedName>
    <definedName name="RA_3">Var_voce!$AF$52:$AF$55</definedName>
    <definedName name="RA_4">Var_voce!$AG$52:$AG$59</definedName>
    <definedName name="Reg">Var_voce!$B$31:$B$50</definedName>
    <definedName name="RG">Var_voce!$B$30:$D$50</definedName>
    <definedName name="RIF_TITOLO">OFFSET(Titolo_descrizione!$B$3,0,0,COUNTA(Titolo_descrizione!$B:$B)-1,1)</definedName>
    <definedName name="SP_AIR">Var_voce!$X$37:$X$48</definedName>
    <definedName name="SP_AIRB">Var_voce!$Y$37:$Y$44</definedName>
    <definedName name="SP_AIRPL">Var_voce!$Z$37:$Z$43</definedName>
    <definedName name="SP_AIRTE">Var_voce!$AA$37:$AA$43</definedName>
    <definedName name="SP_AIRW">Var_voce!$AB$37:$AB$45</definedName>
    <definedName name="SP_AIRWP">Var_voce!$AC$37:$AC$45</definedName>
    <definedName name="SP_ECO" comment="Spessori pannello Eco Dur Zeta">Var_voce!$AE$37:$AE$48</definedName>
    <definedName name="T_1">Var_voce!$AB$70:$AB$72</definedName>
    <definedName name="T_2">Var_voce!$AC$70:$AC$75</definedName>
    <definedName name="TAS_COR">Var_voce!$Z$94:$AA$99</definedName>
    <definedName name="TT_1">Var_voce!$X$81:$X$91</definedName>
    <definedName name="TT_2">Var_voce!$Y$81:$Y$91</definedName>
    <definedName name="TT_3">Var_voce!$Z$81:$Z$88</definedName>
    <definedName name="TT_4">Var_voce!$AA$81</definedName>
    <definedName name="TT_5">Var_voce!$AB$81:$AB$91</definedName>
    <definedName name="TT_6">Var_voce!$AC$81:$AC$88</definedName>
    <definedName name="VAR_VOCE">Var_voce!$B$3:$B$22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117" l="1"/>
  <c r="AE17" i="117"/>
  <c r="D16" i="128"/>
  <c r="D15" i="128"/>
  <c r="D17" i="128"/>
  <c r="D18" i="128"/>
  <c r="F23" i="133"/>
  <c r="E16" i="133"/>
  <c r="E17" i="133"/>
  <c r="E18" i="133"/>
  <c r="E19" i="133"/>
  <c r="E20" i="133"/>
  <c r="E21" i="133"/>
  <c r="E22" i="133"/>
  <c r="E15" i="133"/>
  <c r="F10" i="133"/>
  <c r="F11" i="133"/>
  <c r="F12" i="133"/>
  <c r="F13" i="133"/>
  <c r="F14" i="133"/>
  <c r="F9" i="133"/>
  <c r="V4" i="132"/>
  <c r="V5" i="132"/>
  <c r="V6" i="132"/>
  <c r="V7" i="132"/>
  <c r="V8" i="132"/>
  <c r="V9" i="132"/>
  <c r="V10" i="132"/>
  <c r="V11" i="132"/>
  <c r="V12" i="132"/>
  <c r="V13" i="132"/>
  <c r="V14" i="132"/>
  <c r="V15" i="132"/>
  <c r="V16" i="132"/>
  <c r="V17" i="132"/>
  <c r="V18" i="132"/>
  <c r="V19" i="132"/>
  <c r="V20" i="132"/>
  <c r="V21" i="132"/>
  <c r="V22" i="132"/>
  <c r="V23" i="132"/>
  <c r="V3" i="132"/>
  <c r="Q3" i="132"/>
  <c r="I4" i="132"/>
  <c r="I5" i="132"/>
  <c r="I6" i="132"/>
  <c r="I7" i="132"/>
  <c r="I8" i="132"/>
  <c r="I9" i="132"/>
  <c r="I10" i="132"/>
  <c r="I11" i="132"/>
  <c r="I12" i="132"/>
  <c r="I13" i="132"/>
  <c r="I14" i="132"/>
  <c r="I15" i="132"/>
  <c r="I16" i="132"/>
  <c r="I17" i="132"/>
  <c r="I18" i="132"/>
  <c r="I19" i="132"/>
  <c r="I20" i="132"/>
  <c r="I21" i="132"/>
  <c r="I22" i="132"/>
  <c r="I23" i="132"/>
  <c r="H4" i="132"/>
  <c r="H5" i="132"/>
  <c r="H6" i="132"/>
  <c r="H7" i="132"/>
  <c r="H8" i="132"/>
  <c r="H9" i="132"/>
  <c r="H10" i="132"/>
  <c r="H11" i="132"/>
  <c r="H12" i="132"/>
  <c r="H13" i="132"/>
  <c r="H14" i="132"/>
  <c r="H15" i="132"/>
  <c r="H16" i="132"/>
  <c r="H17" i="132"/>
  <c r="H18" i="132"/>
  <c r="H19" i="132"/>
  <c r="H20" i="132"/>
  <c r="H21" i="132"/>
  <c r="H22" i="132"/>
  <c r="H23" i="132"/>
  <c r="I3" i="132"/>
  <c r="H3" i="132"/>
  <c r="C8" i="118"/>
  <c r="C9" i="118"/>
  <c r="C7" i="118"/>
  <c r="C5" i="118"/>
  <c r="C6" i="118"/>
  <c r="C3" i="118"/>
  <c r="C4" i="118"/>
  <c r="C2" i="118"/>
  <c r="B9" i="118"/>
  <c r="B8" i="118"/>
  <c r="B7" i="118"/>
  <c r="B6" i="118"/>
  <c r="B5" i="118"/>
  <c r="B3" i="118"/>
  <c r="B4" i="118"/>
  <c r="B2" i="118"/>
  <c r="AF23" i="132"/>
  <c r="AA3" i="117" a="1"/>
  <c r="AF3" i="117" a="1"/>
  <c r="AB3" i="117" a="1"/>
  <c r="AF3" i="117" l="1"/>
  <c r="AA3" i="117"/>
  <c r="AB3" i="117"/>
  <c r="D23" i="133"/>
  <c r="I23" i="133"/>
  <c r="H23" i="133"/>
  <c r="G23" i="133"/>
  <c r="E23" i="133"/>
  <c r="Q23" i="132"/>
  <c r="J23" i="132"/>
  <c r="F23" i="132"/>
  <c r="D23" i="132"/>
  <c r="D88" i="118"/>
  <c r="D87" i="118"/>
  <c r="D86" i="118"/>
  <c r="D85" i="118"/>
  <c r="D84" i="118"/>
  <c r="D83" i="118"/>
  <c r="D82" i="118"/>
  <c r="D81" i="118"/>
  <c r="D80" i="118"/>
  <c r="D79" i="118"/>
  <c r="D78" i="118"/>
  <c r="D77" i="118"/>
  <c r="C23" i="133"/>
  <c r="Y23" i="132"/>
  <c r="U23" i="132"/>
  <c r="S23" i="132"/>
  <c r="N23" i="132"/>
  <c r="L23" i="132"/>
  <c r="T23" i="117"/>
  <c r="U23" i="117"/>
  <c r="V23" i="117"/>
  <c r="B4" i="117"/>
  <c r="B5" i="117"/>
  <c r="B6" i="117"/>
  <c r="B7" i="117"/>
  <c r="B8" i="117"/>
  <c r="B9" i="117"/>
  <c r="B10" i="117"/>
  <c r="B11" i="117"/>
  <c r="B12" i="117"/>
  <c r="B13" i="117"/>
  <c r="B14" i="117"/>
  <c r="B15" i="117"/>
  <c r="B16" i="117"/>
  <c r="B17" i="117"/>
  <c r="B18" i="117"/>
  <c r="B19" i="117"/>
  <c r="B20" i="117"/>
  <c r="B21" i="117"/>
  <c r="B22" i="117"/>
  <c r="B4" i="122"/>
  <c r="B5" i="122"/>
  <c r="B6" i="122"/>
  <c r="B7" i="122"/>
  <c r="B8" i="122"/>
  <c r="B9" i="122"/>
  <c r="B10" i="122"/>
  <c r="B11" i="122"/>
  <c r="B12" i="122"/>
  <c r="B13" i="122"/>
  <c r="B14" i="122"/>
  <c r="B15" i="122"/>
  <c r="B16" i="122"/>
  <c r="B17" i="122"/>
  <c r="B18" i="122"/>
  <c r="B19" i="122"/>
  <c r="B20" i="122"/>
  <c r="B21" i="122"/>
  <c r="B22" i="122"/>
  <c r="B23" i="122"/>
  <c r="B24" i="122"/>
  <c r="B25" i="122"/>
  <c r="D10" i="133"/>
  <c r="I13" i="133"/>
  <c r="H13" i="133"/>
  <c r="G13" i="133"/>
  <c r="E13" i="133"/>
  <c r="D13" i="133"/>
  <c r="D7" i="133"/>
  <c r="C13" i="133"/>
  <c r="C14" i="133"/>
  <c r="V13" i="117"/>
  <c r="U13" i="117"/>
  <c r="T13" i="117"/>
  <c r="B24" i="117"/>
  <c r="B25" i="117"/>
  <c r="B26" i="117"/>
  <c r="B27" i="117"/>
  <c r="Q12" i="132"/>
  <c r="L12" i="132"/>
  <c r="Y12" i="132"/>
  <c r="U12" i="132"/>
  <c r="S12" i="132"/>
  <c r="N12" i="132"/>
  <c r="J12" i="132"/>
  <c r="F12" i="132"/>
  <c r="D12" i="132"/>
  <c r="E45" i="102"/>
  <c r="E46" i="102"/>
  <c r="E47" i="102"/>
  <c r="E48" i="102"/>
  <c r="E49" i="102"/>
  <c r="E50" i="102"/>
  <c r="E51" i="102"/>
  <c r="W4" i="122"/>
  <c r="W3" i="122"/>
  <c r="E52" i="102"/>
  <c r="D12" i="118"/>
  <c r="F3" i="131"/>
  <c r="Y3" i="117" a="1"/>
  <c r="Y3" i="117" l="1"/>
  <c r="D186" i="128"/>
  <c r="AB23" i="132"/>
  <c r="AD12" i="132"/>
  <c r="AF12" i="132" s="1"/>
  <c r="AB12" i="132"/>
  <c r="D63" i="118"/>
  <c r="D62" i="118"/>
  <c r="D61" i="118"/>
  <c r="D60" i="118"/>
  <c r="D59" i="118"/>
  <c r="D58" i="118"/>
  <c r="D57" i="118"/>
  <c r="D56" i="118"/>
  <c r="D55" i="118"/>
  <c r="D54" i="118"/>
  <c r="D53" i="118"/>
  <c r="D52" i="118"/>
  <c r="D51" i="118"/>
  <c r="D50" i="118"/>
  <c r="D49" i="118"/>
  <c r="D48" i="118"/>
  <c r="D47" i="118"/>
  <c r="D46" i="118"/>
  <c r="D45" i="118"/>
  <c r="D44" i="118"/>
  <c r="D43" i="118"/>
  <c r="D42" i="118"/>
  <c r="D41" i="118"/>
  <c r="D40" i="118"/>
  <c r="D39" i="118"/>
  <c r="D38" i="118"/>
  <c r="D37" i="118"/>
  <c r="D36" i="118"/>
  <c r="D35" i="118"/>
  <c r="D34" i="118"/>
  <c r="D33" i="118"/>
  <c r="D32" i="118"/>
  <c r="D30" i="118"/>
  <c r="D31" i="118"/>
  <c r="D29" i="118"/>
  <c r="D28" i="118"/>
  <c r="D27" i="118"/>
  <c r="D26" i="118"/>
  <c r="D25" i="118"/>
  <c r="D24" i="118"/>
  <c r="D23" i="118"/>
  <c r="D22" i="118"/>
  <c r="D21" i="118"/>
  <c r="D20" i="118"/>
  <c r="D19" i="118"/>
  <c r="D18" i="118"/>
  <c r="D17" i="118"/>
  <c r="D16" i="118"/>
  <c r="D15" i="118"/>
  <c r="D14" i="118"/>
  <c r="D13" i="118"/>
  <c r="D14" i="128" l="1"/>
  <c r="D13" i="128"/>
  <c r="D12" i="128"/>
  <c r="D11" i="128"/>
  <c r="AG70" i="117"/>
  <c r="AG71" i="117"/>
  <c r="AG72" i="117"/>
  <c r="AG69" i="117"/>
  <c r="AG66" i="117"/>
  <c r="AG67" i="117"/>
  <c r="AG68" i="117"/>
  <c r="AG65" i="117"/>
  <c r="AG62" i="117"/>
  <c r="AG63" i="117"/>
  <c r="AG64" i="117"/>
  <c r="AG61" i="117"/>
  <c r="V3" i="117"/>
  <c r="D70" i="126"/>
  <c r="D71" i="126"/>
  <c r="D72" i="126"/>
  <c r="D73" i="126"/>
  <c r="D74" i="126"/>
  <c r="D75" i="126"/>
  <c r="D76" i="126"/>
  <c r="D69" i="126"/>
  <c r="D58" i="126"/>
  <c r="D59" i="126"/>
  <c r="D60" i="126"/>
  <c r="D61" i="126"/>
  <c r="D62" i="126"/>
  <c r="D63" i="126"/>
  <c r="D64" i="126"/>
  <c r="D65" i="126"/>
  <c r="D66" i="126"/>
  <c r="D67" i="126"/>
  <c r="D68" i="126"/>
  <c r="D57" i="126"/>
  <c r="J3" i="132"/>
  <c r="E3" i="133"/>
  <c r="F66" i="102"/>
  <c r="D22" i="128"/>
  <c r="D23" i="128"/>
  <c r="D24" i="128"/>
  <c r="D25" i="128"/>
  <c r="D26" i="128"/>
  <c r="D27" i="128"/>
  <c r="D28" i="128"/>
  <c r="D29" i="128"/>
  <c r="D30" i="128"/>
  <c r="D31" i="128"/>
  <c r="D32" i="128"/>
  <c r="D33" i="128"/>
  <c r="D34" i="128"/>
  <c r="D35" i="128"/>
  <c r="D36" i="128"/>
  <c r="D37" i="128"/>
  <c r="D38" i="128"/>
  <c r="D39" i="128"/>
  <c r="D40" i="128"/>
  <c r="D41" i="128"/>
  <c r="D42" i="128"/>
  <c r="D43" i="128"/>
  <c r="D44" i="128"/>
  <c r="D45" i="128"/>
  <c r="D46" i="128"/>
  <c r="D47" i="128"/>
  <c r="D48" i="128"/>
  <c r="D49" i="128"/>
  <c r="D50" i="128"/>
  <c r="D51" i="128"/>
  <c r="D52" i="128"/>
  <c r="D53" i="128"/>
  <c r="D54" i="128"/>
  <c r="D55" i="128"/>
  <c r="D56" i="128"/>
  <c r="D57" i="128"/>
  <c r="D58" i="128"/>
  <c r="D59" i="128"/>
  <c r="D60" i="128"/>
  <c r="D61" i="128"/>
  <c r="D62" i="128"/>
  <c r="D63" i="128"/>
  <c r="D64" i="128"/>
  <c r="D65" i="128"/>
  <c r="D66" i="128"/>
  <c r="D67" i="128"/>
  <c r="D68" i="128"/>
  <c r="D69" i="128"/>
  <c r="D70" i="128"/>
  <c r="D21" i="128"/>
  <c r="D66" i="102"/>
  <c r="F15" i="128" s="1"/>
  <c r="C3" i="133"/>
  <c r="F8" i="133"/>
  <c r="F7" i="133"/>
  <c r="E6" i="133"/>
  <c r="F5" i="133"/>
  <c r="F4" i="133"/>
  <c r="F3" i="133"/>
  <c r="C4" i="133"/>
  <c r="C5" i="133"/>
  <c r="C6" i="133"/>
  <c r="C7" i="133"/>
  <c r="C8" i="133"/>
  <c r="C9" i="133"/>
  <c r="C10" i="133"/>
  <c r="C11" i="133"/>
  <c r="C12" i="133"/>
  <c r="C15" i="133"/>
  <c r="C16" i="133"/>
  <c r="C17" i="133"/>
  <c r="C18" i="133"/>
  <c r="C19" i="133"/>
  <c r="C20" i="133"/>
  <c r="C21" i="133"/>
  <c r="C22" i="133"/>
  <c r="H16" i="133"/>
  <c r="H17" i="133"/>
  <c r="H18" i="133"/>
  <c r="H19" i="133"/>
  <c r="H20" i="133"/>
  <c r="H21" i="133"/>
  <c r="H22" i="133"/>
  <c r="H15" i="133"/>
  <c r="I14" i="133"/>
  <c r="I7" i="133"/>
  <c r="I8" i="133"/>
  <c r="I9" i="133"/>
  <c r="I10" i="133"/>
  <c r="I11" i="133"/>
  <c r="I12" i="133"/>
  <c r="H6" i="133"/>
  <c r="I5" i="133"/>
  <c r="I4" i="133"/>
  <c r="I3" i="133"/>
  <c r="G16" i="133"/>
  <c r="G17" i="133"/>
  <c r="G18" i="133"/>
  <c r="G19" i="133"/>
  <c r="G20" i="133"/>
  <c r="G21" i="133"/>
  <c r="G22" i="133"/>
  <c r="G15" i="133"/>
  <c r="H7" i="133"/>
  <c r="H8" i="133"/>
  <c r="H9" i="133"/>
  <c r="H10" i="133"/>
  <c r="H11" i="133"/>
  <c r="H12" i="133"/>
  <c r="H14" i="133"/>
  <c r="G6" i="133"/>
  <c r="H4" i="133"/>
  <c r="H5" i="133"/>
  <c r="H3" i="133"/>
  <c r="F6" i="133"/>
  <c r="G5" i="133"/>
  <c r="F16" i="133"/>
  <c r="F17" i="133"/>
  <c r="F18" i="133"/>
  <c r="F19" i="133"/>
  <c r="F20" i="133"/>
  <c r="F21" i="133"/>
  <c r="F22" i="133"/>
  <c r="F15" i="133"/>
  <c r="G14" i="133"/>
  <c r="G7" i="133"/>
  <c r="G8" i="133"/>
  <c r="G9" i="133"/>
  <c r="G10" i="133"/>
  <c r="G11" i="133"/>
  <c r="G12" i="133"/>
  <c r="G4" i="133"/>
  <c r="G3" i="133"/>
  <c r="D16" i="133"/>
  <c r="D17" i="133"/>
  <c r="D18" i="133"/>
  <c r="D19" i="133"/>
  <c r="D20" i="133"/>
  <c r="D21" i="133"/>
  <c r="D22" i="133"/>
  <c r="D15" i="133"/>
  <c r="E14" i="133"/>
  <c r="E4" i="133"/>
  <c r="E5" i="133"/>
  <c r="E7" i="133"/>
  <c r="E8" i="133"/>
  <c r="E9" i="133"/>
  <c r="E10" i="133"/>
  <c r="E11" i="133"/>
  <c r="E12" i="133"/>
  <c r="D14" i="133"/>
  <c r="D8" i="133"/>
  <c r="D12" i="133"/>
  <c r="D6" i="133"/>
  <c r="D4" i="133"/>
  <c r="D11" i="133"/>
  <c r="D5" i="133"/>
  <c r="D9" i="133"/>
  <c r="D3" i="133"/>
  <c r="B3" i="133" a="1"/>
  <c r="B3" i="133" s="1"/>
  <c r="A60" i="102" l="1"/>
  <c r="A54" i="102"/>
  <c r="F54" i="102" s="1"/>
  <c r="A65" i="102"/>
  <c r="A64" i="102"/>
  <c r="A63" i="102"/>
  <c r="A62" i="102"/>
  <c r="A61" i="102"/>
  <c r="A59" i="102"/>
  <c r="A58" i="102"/>
  <c r="A57" i="102"/>
  <c r="A56" i="102"/>
  <c r="A55" i="102"/>
  <c r="F58" i="102" l="1"/>
  <c r="E58" i="102"/>
  <c r="D54" i="102"/>
  <c r="D60" i="102"/>
  <c r="E60" i="102"/>
  <c r="D62" i="102"/>
  <c r="F11" i="128" s="1"/>
  <c r="F62" i="102"/>
  <c r="D59" i="102"/>
  <c r="F59" i="102"/>
  <c r="F60" i="102"/>
  <c r="D61" i="102"/>
  <c r="F10" i="128" s="1"/>
  <c r="F61" i="102"/>
  <c r="D63" i="102"/>
  <c r="F12" i="128" s="1"/>
  <c r="F63" i="102"/>
  <c r="D64" i="102"/>
  <c r="F13" i="128" s="1"/>
  <c r="F64" i="102"/>
  <c r="D65" i="102"/>
  <c r="F14" i="128" s="1"/>
  <c r="F65" i="102"/>
  <c r="D55" i="102"/>
  <c r="F4" i="128" s="1"/>
  <c r="F55" i="102"/>
  <c r="D56" i="102"/>
  <c r="F56" i="102"/>
  <c r="D57" i="102"/>
  <c r="F57" i="102"/>
  <c r="D58" i="102"/>
  <c r="F7" i="128" l="1"/>
  <c r="F9" i="128"/>
  <c r="F51" i="102"/>
  <c r="F50" i="102"/>
  <c r="F49" i="102"/>
  <c r="F48" i="102"/>
  <c r="F47" i="102"/>
  <c r="F46" i="102"/>
  <c r="F45" i="102"/>
  <c r="D51" i="102" l="1"/>
  <c r="D50" i="102"/>
  <c r="D49" i="102"/>
  <c r="D48" i="102"/>
  <c r="D47" i="102"/>
  <c r="D46" i="102"/>
  <c r="D45" i="102"/>
  <c r="Y15" i="132"/>
  <c r="Y16" i="132"/>
  <c r="Y17" i="132"/>
  <c r="Y18" i="132"/>
  <c r="Y19" i="132"/>
  <c r="Y20" i="132"/>
  <c r="Y21" i="132"/>
  <c r="Y22" i="132"/>
  <c r="U15" i="132"/>
  <c r="U16" i="132"/>
  <c r="U17" i="132"/>
  <c r="U18" i="132"/>
  <c r="U19" i="132"/>
  <c r="U20" i="132"/>
  <c r="U21" i="132"/>
  <c r="U22" i="132"/>
  <c r="S15" i="132"/>
  <c r="S16" i="132"/>
  <c r="S17" i="132"/>
  <c r="S18" i="132"/>
  <c r="S19" i="132"/>
  <c r="S20" i="132"/>
  <c r="S21" i="132"/>
  <c r="S22" i="132"/>
  <c r="N15" i="132"/>
  <c r="N16" i="132"/>
  <c r="N17" i="132"/>
  <c r="N18" i="132"/>
  <c r="N19" i="132"/>
  <c r="N20" i="132"/>
  <c r="N21" i="132"/>
  <c r="N22" i="132"/>
  <c r="L15" i="132"/>
  <c r="L16" i="132"/>
  <c r="L17" i="132"/>
  <c r="L18" i="132"/>
  <c r="L19" i="132"/>
  <c r="L20" i="132"/>
  <c r="L21" i="132"/>
  <c r="L22" i="132"/>
  <c r="J15" i="132"/>
  <c r="J16" i="132"/>
  <c r="J17" i="132"/>
  <c r="J18" i="132"/>
  <c r="J19" i="132"/>
  <c r="J20" i="132"/>
  <c r="J21" i="132"/>
  <c r="J22" i="132"/>
  <c r="F15" i="132"/>
  <c r="F16" i="132"/>
  <c r="F17" i="132"/>
  <c r="F18" i="132"/>
  <c r="F19" i="132"/>
  <c r="F20" i="132"/>
  <c r="F21" i="132"/>
  <c r="F22" i="132"/>
  <c r="Y9" i="132"/>
  <c r="Y10" i="132"/>
  <c r="Y11" i="132"/>
  <c r="Y13" i="132"/>
  <c r="Y14" i="132"/>
  <c r="U9" i="132"/>
  <c r="U10" i="132"/>
  <c r="U11" i="132"/>
  <c r="U13" i="132"/>
  <c r="U14" i="132"/>
  <c r="S9" i="132"/>
  <c r="S10" i="132"/>
  <c r="S11" i="132"/>
  <c r="S13" i="132"/>
  <c r="S14" i="132"/>
  <c r="Q14" i="132"/>
  <c r="Q13" i="132"/>
  <c r="Q11" i="132"/>
  <c r="Q10" i="132"/>
  <c r="Q9" i="132"/>
  <c r="N9" i="132"/>
  <c r="N10" i="132"/>
  <c r="N11" i="132"/>
  <c r="N13" i="132"/>
  <c r="N14" i="132"/>
  <c r="L9" i="132"/>
  <c r="L10" i="132"/>
  <c r="L11" i="132"/>
  <c r="L13" i="132"/>
  <c r="L14" i="132"/>
  <c r="J9" i="132"/>
  <c r="J10" i="132"/>
  <c r="J11" i="132"/>
  <c r="J13" i="132"/>
  <c r="J14" i="132"/>
  <c r="F9" i="132"/>
  <c r="F10" i="132"/>
  <c r="F11" i="132"/>
  <c r="F13" i="132"/>
  <c r="F14" i="132"/>
  <c r="D14" i="132"/>
  <c r="D13" i="132"/>
  <c r="D11" i="132"/>
  <c r="D10" i="132"/>
  <c r="D9" i="132"/>
  <c r="Y8" i="132"/>
  <c r="U8" i="132"/>
  <c r="S8" i="132"/>
  <c r="Q8" i="132"/>
  <c r="N8" i="132"/>
  <c r="L8" i="132"/>
  <c r="J8" i="132"/>
  <c r="F8" i="132"/>
  <c r="D8" i="132"/>
  <c r="Q4" i="132"/>
  <c r="Q5" i="132"/>
  <c r="Q6" i="132"/>
  <c r="Q7" i="132"/>
  <c r="D7" i="132"/>
  <c r="Y7" i="132"/>
  <c r="U7" i="132"/>
  <c r="S7" i="132"/>
  <c r="N7" i="132"/>
  <c r="L7" i="132"/>
  <c r="J7" i="132"/>
  <c r="F7" i="132"/>
  <c r="Y6" i="132"/>
  <c r="U6" i="132"/>
  <c r="S6" i="132"/>
  <c r="N6" i="132"/>
  <c r="L6" i="132"/>
  <c r="J5" i="132"/>
  <c r="F6" i="132"/>
  <c r="F5" i="132"/>
  <c r="D6" i="132"/>
  <c r="Y5" i="132"/>
  <c r="U5" i="132"/>
  <c r="S5" i="132"/>
  <c r="N5" i="132"/>
  <c r="L5" i="132"/>
  <c r="F4" i="132"/>
  <c r="D5" i="132"/>
  <c r="Y4" i="132"/>
  <c r="U4" i="132"/>
  <c r="S4" i="132"/>
  <c r="N4" i="132"/>
  <c r="L4" i="132"/>
  <c r="J4" i="132"/>
  <c r="D4" i="132"/>
  <c r="D3" i="132"/>
  <c r="N3" i="132"/>
  <c r="AD4" i="132" l="1"/>
  <c r="AF4" i="132" s="1"/>
  <c r="AD19" i="132"/>
  <c r="AF19" i="132" s="1"/>
  <c r="AD7" i="132"/>
  <c r="AF7" i="132" s="1"/>
  <c r="AD8" i="132"/>
  <c r="AF8" i="132" s="1"/>
  <c r="AD17" i="132"/>
  <c r="AF17" i="132" s="1"/>
  <c r="AD13" i="132"/>
  <c r="AF13" i="132" s="1"/>
  <c r="AD16" i="132"/>
  <c r="AF16" i="132" s="1"/>
  <c r="AD5" i="132"/>
  <c r="AF5" i="132" s="1"/>
  <c r="AD11" i="132"/>
  <c r="AF11" i="132" s="1"/>
  <c r="AD14" i="132"/>
  <c r="AF14" i="132" s="1"/>
  <c r="AD6" i="132"/>
  <c r="AF6" i="132" s="1"/>
  <c r="AD10" i="132"/>
  <c r="AF10" i="132" s="1"/>
  <c r="AD15" i="132"/>
  <c r="AF15" i="132" s="1"/>
  <c r="AD18" i="132"/>
  <c r="AF18" i="132" s="1"/>
  <c r="AD9" i="132"/>
  <c r="AF9" i="132" s="1"/>
  <c r="AD22" i="132"/>
  <c r="AF22" i="132" s="1"/>
  <c r="AD21" i="132"/>
  <c r="AF21" i="132" s="1"/>
  <c r="AD20" i="132"/>
  <c r="AF20" i="132" s="1"/>
  <c r="AB16" i="132"/>
  <c r="AB15" i="132"/>
  <c r="AB17" i="132"/>
  <c r="AB18" i="132"/>
  <c r="AB20" i="132"/>
  <c r="AB19" i="132"/>
  <c r="AB22" i="132"/>
  <c r="AB21" i="132"/>
  <c r="AB14" i="132"/>
  <c r="AB9" i="132"/>
  <c r="AB10" i="132"/>
  <c r="AB11" i="132"/>
  <c r="AB13" i="132"/>
  <c r="AB8" i="132"/>
  <c r="AB7" i="132"/>
  <c r="AB6" i="132"/>
  <c r="AB5" i="132"/>
  <c r="Y3" i="132" l="1"/>
  <c r="U3" i="132"/>
  <c r="S3" i="132"/>
  <c r="L3" i="132"/>
  <c r="AB4" i="132"/>
  <c r="F3" i="132"/>
  <c r="AG3" i="117" a="1"/>
  <c r="AB3" i="132" l="1"/>
  <c r="AD3" i="132"/>
  <c r="AF3" i="132" s="1"/>
  <c r="AG3" i="117"/>
  <c r="B3" i="132" l="1" a="1"/>
  <c r="B3" i="132" s="1"/>
  <c r="V4" i="117"/>
  <c r="V5" i="117"/>
  <c r="V6" i="117"/>
  <c r="V7" i="117"/>
  <c r="V8" i="117"/>
  <c r="V9" i="117"/>
  <c r="V10" i="117"/>
  <c r="V11" i="117"/>
  <c r="V12" i="117"/>
  <c r="V14" i="117"/>
  <c r="V15" i="117"/>
  <c r="V16" i="117"/>
  <c r="V17" i="117"/>
  <c r="V18" i="117"/>
  <c r="V19" i="117"/>
  <c r="V20" i="117"/>
  <c r="V21" i="117"/>
  <c r="V22" i="117"/>
  <c r="U3" i="117"/>
  <c r="U4" i="117"/>
  <c r="U5" i="117"/>
  <c r="U6" i="117"/>
  <c r="U7" i="117"/>
  <c r="U8" i="117"/>
  <c r="U9" i="117"/>
  <c r="U10" i="117"/>
  <c r="U11" i="117"/>
  <c r="U12" i="117"/>
  <c r="U14" i="117"/>
  <c r="U15" i="117"/>
  <c r="U16" i="117"/>
  <c r="U17" i="117"/>
  <c r="U18" i="117"/>
  <c r="U19" i="117"/>
  <c r="U20" i="117"/>
  <c r="U21" i="117"/>
  <c r="U22" i="117"/>
  <c r="T4" i="117"/>
  <c r="T5" i="117"/>
  <c r="T6" i="117"/>
  <c r="T7" i="117"/>
  <c r="T8" i="117"/>
  <c r="T9" i="117"/>
  <c r="T10" i="117"/>
  <c r="T11" i="117"/>
  <c r="T12" i="117"/>
  <c r="T14" i="117"/>
  <c r="T15" i="117"/>
  <c r="T16" i="117"/>
  <c r="T17" i="117"/>
  <c r="T18" i="117"/>
  <c r="T19" i="117"/>
  <c r="T20" i="117"/>
  <c r="T21" i="117"/>
  <c r="T22" i="117"/>
  <c r="T3" i="117"/>
  <c r="B3" i="122"/>
  <c r="O16" i="117"/>
  <c r="O17" i="117"/>
  <c r="O18" i="117"/>
  <c r="O19" i="117"/>
  <c r="O20" i="117"/>
  <c r="O21" i="117"/>
  <c r="O22" i="117"/>
  <c r="O15" i="117"/>
  <c r="C1" i="102"/>
  <c r="Z3" i="117" a="1"/>
  <c r="AC3" i="117" a="1"/>
  <c r="AD3" i="117" a="1"/>
  <c r="AE3" i="117" a="1"/>
  <c r="X3" i="117" a="1"/>
  <c r="A79" i="102" l="1"/>
  <c r="AE3" i="117"/>
  <c r="AD3" i="117"/>
  <c r="AC3" i="117"/>
  <c r="A12" i="102"/>
  <c r="C9" i="102"/>
  <c r="A22" i="102"/>
  <c r="E22" i="102" s="1"/>
  <c r="A24" i="102"/>
  <c r="E24" i="102" s="1"/>
  <c r="A26" i="102"/>
  <c r="E26" i="102" s="1"/>
  <c r="A28" i="102"/>
  <c r="E28" i="102" s="1"/>
  <c r="A42" i="102"/>
  <c r="E42" i="102" s="1"/>
  <c r="A39" i="102"/>
  <c r="E39" i="102" s="1"/>
  <c r="A36" i="102"/>
  <c r="E36" i="102" s="1"/>
  <c r="A33" i="102"/>
  <c r="E33" i="102" s="1"/>
  <c r="A30" i="102"/>
  <c r="E30" i="102" s="1"/>
  <c r="A20" i="102"/>
  <c r="A21" i="102" s="1"/>
  <c r="E9" i="102"/>
  <c r="F6" i="102"/>
  <c r="D9" i="102"/>
  <c r="B9" i="102"/>
  <c r="A9" i="102"/>
  <c r="Z3" i="117"/>
  <c r="X3" i="117"/>
  <c r="E21" i="102" l="1"/>
  <c r="F42" i="102"/>
  <c r="D42" i="102"/>
  <c r="F24" i="102"/>
  <c r="A25" i="102"/>
  <c r="E25" i="102" s="1"/>
  <c r="D24" i="102"/>
  <c r="F28" i="102"/>
  <c r="D28" i="102"/>
  <c r="A29" i="102"/>
  <c r="E29" i="102" s="1"/>
  <c r="F39" i="102"/>
  <c r="D39" i="102"/>
  <c r="F22" i="102"/>
  <c r="A23" i="102"/>
  <c r="E23" i="102" s="1"/>
  <c r="D22" i="102"/>
  <c r="F26" i="102"/>
  <c r="D26" i="102"/>
  <c r="A27" i="102"/>
  <c r="E27" i="102" s="1"/>
  <c r="F36" i="102"/>
  <c r="D36" i="102"/>
  <c r="F30" i="102"/>
  <c r="D30" i="102"/>
  <c r="A31" i="102"/>
  <c r="E31" i="102" s="1"/>
  <c r="F33" i="102"/>
  <c r="D33" i="102"/>
  <c r="F70" i="102"/>
  <c r="F25" i="102" l="1"/>
  <c r="D25" i="102"/>
  <c r="A32" i="102"/>
  <c r="E32" i="102" s="1"/>
  <c r="D31" i="102"/>
  <c r="F31" i="102"/>
  <c r="F29" i="102"/>
  <c r="D29" i="102"/>
  <c r="F27" i="102"/>
  <c r="D27" i="102"/>
  <c r="F23" i="102"/>
  <c r="D23" i="102"/>
  <c r="F32" i="102" l="1"/>
  <c r="D32" i="102"/>
  <c r="E6" i="102" l="1"/>
  <c r="D52" i="102" l="1"/>
  <c r="L48" i="102" l="1" a="1"/>
  <c r="L48" i="102" s="1"/>
  <c r="P50" i="102" s="1"/>
  <c r="L45" i="102" a="1"/>
  <c r="L45" i="102" s="1"/>
  <c r="L42" i="102" a="1"/>
  <c r="L42" i="102" s="1"/>
  <c r="L43" i="102" s="1"/>
  <c r="L44" i="102" s="1"/>
  <c r="L39" i="102" a="1"/>
  <c r="L39" i="102" s="1"/>
  <c r="L36" i="102" a="1"/>
  <c r="L36" i="102" s="1"/>
  <c r="L37" i="102" s="1"/>
  <c r="L38" i="102" s="1"/>
  <c r="L33" i="102" a="1"/>
  <c r="L33" i="102" s="1"/>
  <c r="L34" i="102" s="1"/>
  <c r="L35" i="102" s="1"/>
  <c r="L30" i="102" a="1"/>
  <c r="L30" i="102" s="1"/>
  <c r="L28" i="102" a="1"/>
  <c r="L28" i="102" s="1"/>
  <c r="L29" i="102" s="1"/>
  <c r="L26" i="102" a="1"/>
  <c r="L26" i="102" s="1"/>
  <c r="L27" i="102" s="1"/>
  <c r="L24" i="102" a="1"/>
  <c r="L24" i="102" s="1"/>
  <c r="Q24" i="102" s="1"/>
  <c r="Q46" i="102"/>
  <c r="L22" i="102" a="1"/>
  <c r="L22" i="102" s="1"/>
  <c r="L23" i="102" s="1"/>
  <c r="L20" i="102" a="1"/>
  <c r="L20" i="102" s="1"/>
  <c r="L21" i="102" s="1"/>
  <c r="P52" i="102"/>
  <c r="O52" i="102"/>
  <c r="Q51" i="102"/>
  <c r="P51" i="102"/>
  <c r="O51" i="102"/>
  <c r="Q50" i="102"/>
  <c r="O50" i="102"/>
  <c r="Q49" i="102"/>
  <c r="P49" i="102"/>
  <c r="O49" i="102"/>
  <c r="R50" i="102" l="1"/>
  <c r="R51" i="102"/>
  <c r="R49" i="102"/>
  <c r="O48" i="102"/>
  <c r="Q48" i="102"/>
  <c r="P48" i="102"/>
  <c r="O45" i="102"/>
  <c r="Q45" i="102"/>
  <c r="Q39" i="102"/>
  <c r="L40" i="102"/>
  <c r="L41" i="102" s="1"/>
  <c r="P30" i="102"/>
  <c r="L31" i="102"/>
  <c r="L32" i="102" s="1"/>
  <c r="Q30" i="102"/>
  <c r="L25" i="102"/>
  <c r="P47" i="102"/>
  <c r="O47" i="102"/>
  <c r="Q47" i="102"/>
  <c r="P45" i="102"/>
  <c r="O46" i="102"/>
  <c r="P46" i="102"/>
  <c r="R46" i="102" s="1"/>
  <c r="O24" i="102"/>
  <c r="P24" i="102"/>
  <c r="R24" i="102" s="1"/>
  <c r="O30" i="102"/>
  <c r="Q33" i="102"/>
  <c r="P33" i="102"/>
  <c r="O33" i="102"/>
  <c r="Q42" i="102"/>
  <c r="P42" i="102"/>
  <c r="O42" i="102"/>
  <c r="Q26" i="102"/>
  <c r="P26" i="102"/>
  <c r="O26" i="102"/>
  <c r="O29" i="102"/>
  <c r="Q29" i="102"/>
  <c r="P29" i="102"/>
  <c r="O37" i="102"/>
  <c r="Q37" i="102"/>
  <c r="P37" i="102"/>
  <c r="Q22" i="102"/>
  <c r="P22" i="102"/>
  <c r="O22" i="102"/>
  <c r="Q36" i="102"/>
  <c r="P36" i="102"/>
  <c r="O36" i="102"/>
  <c r="Q21" i="102"/>
  <c r="P21" i="102"/>
  <c r="O21" i="102"/>
  <c r="O39" i="102"/>
  <c r="P39" i="102"/>
  <c r="Q28" i="102"/>
  <c r="P28" i="102"/>
  <c r="O28" i="102"/>
  <c r="R21" i="102" l="1"/>
  <c r="R29" i="102"/>
  <c r="R30" i="102"/>
  <c r="O40" i="102"/>
  <c r="R39" i="102"/>
  <c r="P40" i="102"/>
  <c r="Q40" i="102"/>
  <c r="R48" i="102"/>
  <c r="R45" i="102"/>
  <c r="P31" i="102"/>
  <c r="Q31" i="102"/>
  <c r="O31" i="102"/>
  <c r="R26" i="102"/>
  <c r="P25" i="102"/>
  <c r="Q25" i="102"/>
  <c r="O25" i="102"/>
  <c r="R28" i="102"/>
  <c r="R42" i="102"/>
  <c r="R37" i="102"/>
  <c r="R33" i="102"/>
  <c r="R47" i="102"/>
  <c r="R36" i="102"/>
  <c r="Q38" i="102"/>
  <c r="P38" i="102"/>
  <c r="O38" i="102"/>
  <c r="Q43" i="102"/>
  <c r="P43" i="102"/>
  <c r="O43" i="102"/>
  <c r="Q34" i="102"/>
  <c r="P34" i="102"/>
  <c r="O34" i="102"/>
  <c r="P41" i="102"/>
  <c r="O41" i="102"/>
  <c r="Q41" i="102"/>
  <c r="Q27" i="102"/>
  <c r="P27" i="102"/>
  <c r="O27" i="102"/>
  <c r="P23" i="102"/>
  <c r="Q23" i="102"/>
  <c r="O23" i="102"/>
  <c r="P32" i="102"/>
  <c r="O32" i="102"/>
  <c r="Q32" i="102"/>
  <c r="R22" i="102"/>
  <c r="R34" i="102" l="1"/>
  <c r="R40" i="102"/>
  <c r="R25" i="102"/>
  <c r="R31" i="102"/>
  <c r="R27" i="102"/>
  <c r="R43" i="102"/>
  <c r="R38" i="102"/>
  <c r="R23" i="102"/>
  <c r="Q44" i="102"/>
  <c r="P44" i="102"/>
  <c r="O44" i="102"/>
  <c r="R41" i="102"/>
  <c r="R32" i="102"/>
  <c r="P35" i="102"/>
  <c r="Q35" i="102"/>
  <c r="O35" i="102"/>
  <c r="R35" i="102" l="1"/>
  <c r="R44" i="102"/>
  <c r="R52" i="102" l="1"/>
  <c r="E66" i="102" l="1"/>
  <c r="G66" i="102" s="1"/>
  <c r="D53" i="102" l="1"/>
  <c r="D67" i="102"/>
  <c r="E55" i="102"/>
  <c r="E59" i="102" l="1"/>
  <c r="F8" i="128" s="1"/>
  <c r="E65" i="102"/>
  <c r="E61" i="102"/>
  <c r="E62" i="102"/>
  <c r="E63" i="102"/>
  <c r="E64" i="102"/>
  <c r="G62" i="102" l="1"/>
  <c r="G65" i="102"/>
  <c r="G64" i="102"/>
  <c r="G55" i="102"/>
  <c r="G58" i="102"/>
  <c r="G63" i="102"/>
  <c r="G59" i="102"/>
  <c r="G60" i="102"/>
  <c r="G61" i="102"/>
  <c r="G51" i="102" l="1"/>
  <c r="G47" i="102"/>
  <c r="G50" i="102"/>
  <c r="G49" i="102"/>
  <c r="G48" i="102"/>
  <c r="D21" i="102" l="1"/>
  <c r="F21" i="102"/>
  <c r="C6" i="102"/>
  <c r="A34" i="102"/>
  <c r="E34" i="102" s="1"/>
  <c r="A37" i="102"/>
  <c r="E37" i="102" s="1"/>
  <c r="A40" i="102"/>
  <c r="E40" i="102" s="1"/>
  <c r="A43" i="102"/>
  <c r="E43" i="102" s="1"/>
  <c r="G45" i="102" l="1"/>
  <c r="F37" i="102"/>
  <c r="F34" i="102"/>
  <c r="G36" i="102"/>
  <c r="F43" i="102"/>
  <c r="F40" i="102"/>
  <c r="D37" i="102"/>
  <c r="D34" i="102"/>
  <c r="D43" i="102"/>
  <c r="D40" i="102"/>
  <c r="G39" i="102"/>
  <c r="G22" i="102"/>
  <c r="G42" i="102"/>
  <c r="A41" i="102"/>
  <c r="E41" i="102" s="1"/>
  <c r="A38" i="102"/>
  <c r="E38" i="102" s="1"/>
  <c r="A35" i="102"/>
  <c r="E35" i="102" s="1"/>
  <c r="A44" i="102"/>
  <c r="E44" i="102" s="1"/>
  <c r="G30" i="102"/>
  <c r="G33" i="102"/>
  <c r="G28" i="102"/>
  <c r="G24" i="102"/>
  <c r="G26" i="102"/>
  <c r="B6" i="102"/>
  <c r="A6" i="102"/>
  <c r="G46" i="102" l="1"/>
  <c r="F35" i="102"/>
  <c r="F38" i="102"/>
  <c r="F41" i="102"/>
  <c r="F44" i="102"/>
  <c r="D44" i="102"/>
  <c r="D35" i="102"/>
  <c r="D38" i="102"/>
  <c r="D41" i="102"/>
  <c r="E56" i="102"/>
  <c r="F5" i="128" s="1"/>
  <c r="E57" i="102"/>
  <c r="F6" i="128" s="1"/>
  <c r="E54" i="102"/>
  <c r="F3" i="128" s="1"/>
  <c r="G37" i="102"/>
  <c r="G43" i="102"/>
  <c r="G40" i="102"/>
  <c r="G31" i="102"/>
  <c r="G56" i="102" l="1"/>
  <c r="G57" i="102"/>
  <c r="F16" i="128"/>
  <c r="G29" i="102"/>
  <c r="G27" i="102"/>
  <c r="G35" i="102"/>
  <c r="G54" i="102"/>
  <c r="G23" i="102"/>
  <c r="G34" i="102"/>
  <c r="G25" i="102"/>
  <c r="G32" i="102"/>
  <c r="G38" i="102"/>
  <c r="G44" i="102"/>
  <c r="G41" i="102"/>
  <c r="E70" i="102" l="1"/>
  <c r="G70" i="102" s="1"/>
  <c r="G69" i="102"/>
  <c r="G67" i="102" l="1"/>
  <c r="G71" i="102"/>
  <c r="G21" i="102" l="1"/>
  <c r="G52" i="102" s="1"/>
  <c r="G72" i="102" s="1"/>
  <c r="G73" i="102" s="1"/>
  <c r="G74" i="102" s="1"/>
  <c r="G76" i="10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<sst xmlns="http://schemas.openxmlformats.org/spreadsheetml/2006/main" count="2146" uniqueCount="596">
  <si>
    <t>DESCRIZIONE</t>
  </si>
  <si>
    <t>U.M.</t>
  </si>
  <si>
    <t>PREZZO COMPLETO</t>
  </si>
  <si>
    <t>QUANTITA'</t>
  </si>
  <si>
    <t>kg/mq</t>
  </si>
  <si>
    <t>OPERAIO QUALIFICATO (MO1003)</t>
  </si>
  <si>
    <t>NOLO DI STRUMENTAZIONE DA CANTIERE</t>
  </si>
  <si>
    <t>Rinforzo V50</t>
  </si>
  <si>
    <t>PREZZO UNITARIO*</t>
  </si>
  <si>
    <t>Rinforzo V40</t>
  </si>
  <si>
    <t>TRASPORTO MATERIALI DI CONSUMO</t>
  </si>
  <si>
    <t xml:space="preserve">RISORSE UMANE (RU) </t>
  </si>
  <si>
    <t xml:space="preserve">PRODOTTI DA COSTRUZIONE (PR) </t>
  </si>
  <si>
    <t>sommano PR</t>
  </si>
  <si>
    <t xml:space="preserve">ATTREZZATURE (AT) </t>
  </si>
  <si>
    <t>sommano AT</t>
  </si>
  <si>
    <t>Costo indiretto (SG) 17,00%</t>
  </si>
  <si>
    <t>Costo figurativo (U) 10,00%</t>
  </si>
  <si>
    <t xml:space="preserve">Voce di capitolato </t>
  </si>
  <si>
    <t>Numero_Tavola</t>
  </si>
  <si>
    <t>Colonna1</t>
  </si>
  <si>
    <t>Variabile_1</t>
  </si>
  <si>
    <t>Variabile_2</t>
  </si>
  <si>
    <t>Variabile_3</t>
  </si>
  <si>
    <t>Variabile_4</t>
  </si>
  <si>
    <t>Variabile_5</t>
  </si>
  <si>
    <t>Variabile_6</t>
  </si>
  <si>
    <t>Variabile_7</t>
  </si>
  <si>
    <t>Variabile_8</t>
  </si>
  <si>
    <t>Descrizione</t>
  </si>
  <si>
    <t>Caratteristiche</t>
  </si>
  <si>
    <t xml:space="preserve">1) </t>
  </si>
  <si>
    <t xml:space="preserve">2) </t>
  </si>
  <si>
    <t xml:space="preserve">3) </t>
  </si>
  <si>
    <t xml:space="preserve">4) </t>
  </si>
  <si>
    <t xml:space="preserve">5) </t>
  </si>
  <si>
    <t>Calcolo quantità</t>
  </si>
  <si>
    <t>OPERAIO SPECIALIZZATO (MO1002)</t>
  </si>
  <si>
    <t>sommano RU</t>
  </si>
  <si>
    <t>UM</t>
  </si>
  <si>
    <t>Prezzo</t>
  </si>
  <si>
    <t xml:space="preserve">Prodotto </t>
  </si>
  <si>
    <t>Prodotto</t>
  </si>
  <si>
    <t>Calcolo</t>
  </si>
  <si>
    <t>Prodotto e caratteristiche</t>
  </si>
  <si>
    <t>Ausiliaria per calcolo noli e trasporti</t>
  </si>
  <si>
    <t>Kg/mq</t>
  </si>
  <si>
    <t>Costo Tecnico (CT)</t>
  </si>
  <si>
    <t xml:space="preserve"> PREZZO COMPLESSIVO AL MQ                 </t>
  </si>
  <si>
    <t>RU+PR+AT+SG+U</t>
  </si>
  <si>
    <t>Variabile_9</t>
  </si>
  <si>
    <t xml:space="preserve"> </t>
  </si>
  <si>
    <t>Nessuno</t>
  </si>
  <si>
    <t>l/mq</t>
  </si>
  <si>
    <t>*nello spazio grigio sono presenti tutti i menù a tendina del foglio Analisi_Voci</t>
  </si>
  <si>
    <t>Riferimento</t>
  </si>
  <si>
    <t>ASSEMBLATO EPS GENERICO</t>
  </si>
  <si>
    <t>ASSEMBLATO POLIURETANO GENERICO</t>
  </si>
  <si>
    <t>ASSEMBLATO RESINA FENOLICA GENERICO</t>
  </si>
  <si>
    <t>ASSEMBLATO LANA DI ROCCIA GENERICO</t>
  </si>
  <si>
    <t>ASSEMBLATO LANA DI VETRO GENERICO</t>
  </si>
  <si>
    <t>ASSEMBLATO AEROGEL GENERICO</t>
  </si>
  <si>
    <t>ASSEMBLATO FIBRA DI LEGNO GENERICO</t>
  </si>
  <si>
    <t>ASSEMBLATO SUGHERO GENERICO</t>
  </si>
  <si>
    <t>Spessore pannello</t>
  </si>
  <si>
    <t>Adesivo&amp;Rasante</t>
  </si>
  <si>
    <t xml:space="preserve">Rete di rinforzo </t>
  </si>
  <si>
    <t>Rete di rinforzo</t>
  </si>
  <si>
    <t xml:space="preserve">Fondo di finitura </t>
  </si>
  <si>
    <t>Fondo di finitura</t>
  </si>
  <si>
    <t>Intonachino a spessore</t>
  </si>
  <si>
    <t xml:space="preserve">Granulometria intonachino </t>
  </si>
  <si>
    <t xml:space="preserve">Regione </t>
  </si>
  <si>
    <t>Tipologia tasselli</t>
  </si>
  <si>
    <t>Numero tasselli</t>
  </si>
  <si>
    <t xml:space="preserve">Numero tasselli </t>
  </si>
  <si>
    <t>Regioni</t>
  </si>
  <si>
    <t>Abruzzo</t>
  </si>
  <si>
    <t>Basilicata</t>
  </si>
  <si>
    <t>Calabria</t>
  </si>
  <si>
    <t>Campania</t>
  </si>
  <si>
    <t>Emilia-Romagna</t>
  </si>
  <si>
    <t>Friuli-Venezia Giulia</t>
  </si>
  <si>
    <t>Lazio</t>
  </si>
  <si>
    <t>Liguria</t>
  </si>
  <si>
    <t>Lombardia</t>
  </si>
  <si>
    <t>Marche</t>
  </si>
  <si>
    <t>Molise</t>
  </si>
  <si>
    <t>Piemonte</t>
  </si>
  <si>
    <t>Puglia</t>
  </si>
  <si>
    <t>Sardegna</t>
  </si>
  <si>
    <t>Sicilia</t>
  </si>
  <si>
    <t>Toscana</t>
  </si>
  <si>
    <t>Trentino-Alto Adige</t>
  </si>
  <si>
    <t>Umbria</t>
  </si>
  <si>
    <t>Valle d'Aosta</t>
  </si>
  <si>
    <t>Veneto</t>
  </si>
  <si>
    <t xml:space="preserve">Lunghezza tasselli </t>
  </si>
  <si>
    <t>Applicazione di sistema a cappotto KlimaExpert ETA con pannello Klima Air</t>
  </si>
  <si>
    <t>Applicazione di sistema a cappotto KlimaExpert ETA con pannello Klima Airplus</t>
  </si>
  <si>
    <t>Applicazione di sistema a cappotto KlimaExpert ETA con pannello Klima Air Black</t>
  </si>
  <si>
    <t xml:space="preserve">Applicazione di sistema a cappotto KlimaExpert ETA con pannello Klima Airtech senza tasselli </t>
  </si>
  <si>
    <t xml:space="preserve">Applicazione di sistema a cappotto assemblato con pannello Klima Air </t>
  </si>
  <si>
    <t>Applicazione di sistema a cappotto assemblato con pannello Klima Airplus</t>
  </si>
  <si>
    <t>Applicazione di sistema a cappotto assemblato con pannello Klima Airtech</t>
  </si>
  <si>
    <t>Applicazione di sistema a cappotto assemblato con pannello Klima Air Black</t>
  </si>
  <si>
    <t>Applicazione di sistema a cappotto assemblato con pannello Klima Airwool Plus</t>
  </si>
  <si>
    <t xml:space="preserve">Spessori pannelli catalogo </t>
  </si>
  <si>
    <t>Klima Air</t>
  </si>
  <si>
    <t>30 mm</t>
  </si>
  <si>
    <t>40 mm</t>
  </si>
  <si>
    <t>50 mm</t>
  </si>
  <si>
    <t>60 mm</t>
  </si>
  <si>
    <t>80 mm</t>
  </si>
  <si>
    <t>100 mm</t>
  </si>
  <si>
    <t>120 mm</t>
  </si>
  <si>
    <t>140 mm</t>
  </si>
  <si>
    <t>150 mm</t>
  </si>
  <si>
    <t>160 mm</t>
  </si>
  <si>
    <t>180 mm</t>
  </si>
  <si>
    <t>Klima Air Black</t>
  </si>
  <si>
    <t>200 mm</t>
  </si>
  <si>
    <t>Klima Airplus</t>
  </si>
  <si>
    <t>Klima Airwool</t>
  </si>
  <si>
    <t>Klima Airwool Plus</t>
  </si>
  <si>
    <t>Pannello</t>
  </si>
  <si>
    <t>Klima Airtech</t>
  </si>
  <si>
    <t>Rif Spessori</t>
  </si>
  <si>
    <t>SP_AIR</t>
  </si>
  <si>
    <t>SP_AIRB</t>
  </si>
  <si>
    <t>SP_AIRTE</t>
  </si>
  <si>
    <t>SP_AIRW</t>
  </si>
  <si>
    <t>SP_AIRWP</t>
  </si>
  <si>
    <t>NOP</t>
  </si>
  <si>
    <t>SP_AIRPL</t>
  </si>
  <si>
    <t>Adesivi&amp;Rasanti</t>
  </si>
  <si>
    <t>AD_1</t>
  </si>
  <si>
    <t>Adesivi e rasanti</t>
  </si>
  <si>
    <t>AD_2</t>
  </si>
  <si>
    <t>AD_3</t>
  </si>
  <si>
    <t>AD_4</t>
  </si>
  <si>
    <t>Keraklima Eco Bianco</t>
  </si>
  <si>
    <t>Keraklima Eco Grigio</t>
  </si>
  <si>
    <t>Keraklima Eco Granello</t>
  </si>
  <si>
    <t>Klima Flex</t>
  </si>
  <si>
    <t>Klima Light Calce</t>
  </si>
  <si>
    <t>Klima Light</t>
  </si>
  <si>
    <t>Klima Fix Bianco</t>
  </si>
  <si>
    <t>Klima Fix Grigio</t>
  </si>
  <si>
    <t>Rete rinforzo</t>
  </si>
  <si>
    <t>R_2</t>
  </si>
  <si>
    <t>R_1</t>
  </si>
  <si>
    <t>H/mq</t>
  </si>
  <si>
    <t>Sistema</t>
  </si>
  <si>
    <t>Tassellatura dei pannelli termoisolanti</t>
  </si>
  <si>
    <t>Applicazione del fondo</t>
  </si>
  <si>
    <t>Applicazione dell'intonachino di finitura</t>
  </si>
  <si>
    <t>F_1</t>
  </si>
  <si>
    <t>F_2</t>
  </si>
  <si>
    <t>I_1</t>
  </si>
  <si>
    <t>I_2</t>
  </si>
  <si>
    <t>I_3</t>
  </si>
  <si>
    <t xml:space="preserve">Fondo di finitura e intonachino </t>
  </si>
  <si>
    <t>Kerakover Acrilex Fondo</t>
  </si>
  <si>
    <t>Kerakover Kompact New</t>
  </si>
  <si>
    <t>Kerakover Acrilex Finish</t>
  </si>
  <si>
    <t>Granulometrie</t>
  </si>
  <si>
    <t>1.0</t>
  </si>
  <si>
    <t>1.2</t>
  </si>
  <si>
    <t>1.5</t>
  </si>
  <si>
    <t>G_1</t>
  </si>
  <si>
    <t>G_2</t>
  </si>
  <si>
    <t>Fine (1.2)</t>
  </si>
  <si>
    <t>Medio (1.5)</t>
  </si>
  <si>
    <t>Colorazione</t>
  </si>
  <si>
    <t>C_1</t>
  </si>
  <si>
    <t>C_2</t>
  </si>
  <si>
    <t>Kerakover Silox Fondo</t>
  </si>
  <si>
    <t xml:space="preserve">Biocalce Silicato Fondo </t>
  </si>
  <si>
    <t>Kerakover Silox Finish</t>
  </si>
  <si>
    <t>Biocalce Silicato Puro</t>
  </si>
  <si>
    <t>Bianco</t>
  </si>
  <si>
    <t>Colorato A</t>
  </si>
  <si>
    <t>Colorato B</t>
  </si>
  <si>
    <t>Colorato AA</t>
  </si>
  <si>
    <t>Solar Scud</t>
  </si>
  <si>
    <t>Intonachino</t>
  </si>
  <si>
    <t>Colore</t>
  </si>
  <si>
    <t>Variabile_10</t>
  </si>
  <si>
    <t>Colore intonachino</t>
  </si>
  <si>
    <t>Granulometria</t>
  </si>
  <si>
    <t>Tasselli</t>
  </si>
  <si>
    <t>T_1</t>
  </si>
  <si>
    <t>T_2</t>
  </si>
  <si>
    <t>Tassello a percussione Acciaio/Nylon</t>
  </si>
  <si>
    <t>Tassello a percussione Nylon</t>
  </si>
  <si>
    <t>Tassello a scomparsa EcoTwist</t>
  </si>
  <si>
    <t>Tassello SGR a percussione Acciaio/Nylon</t>
  </si>
  <si>
    <t>Tassello SGR a percussione Nylon</t>
  </si>
  <si>
    <t>Dimensioni tasselli</t>
  </si>
  <si>
    <t>90/40</t>
  </si>
  <si>
    <t>110/70</t>
  </si>
  <si>
    <t>130/90</t>
  </si>
  <si>
    <t>150/110</t>
  </si>
  <si>
    <t>170/130</t>
  </si>
  <si>
    <t>190/150</t>
  </si>
  <si>
    <t>210/170</t>
  </si>
  <si>
    <t>230/190</t>
  </si>
  <si>
    <t>250/210</t>
  </si>
  <si>
    <t>270/230</t>
  </si>
  <si>
    <t>290/250</t>
  </si>
  <si>
    <t>310/270</t>
  </si>
  <si>
    <t>145/110</t>
  </si>
  <si>
    <t>165/130</t>
  </si>
  <si>
    <t>185/150</t>
  </si>
  <si>
    <t>205/170</t>
  </si>
  <si>
    <t>225/190</t>
  </si>
  <si>
    <t>245/210</t>
  </si>
  <si>
    <t>265/230</t>
  </si>
  <si>
    <t>10-30</t>
  </si>
  <si>
    <t>TT_1</t>
  </si>
  <si>
    <t>TT_2</t>
  </si>
  <si>
    <t>TT_3</t>
  </si>
  <si>
    <t>TT_4</t>
  </si>
  <si>
    <t>TT_5</t>
  </si>
  <si>
    <t>TT_6</t>
  </si>
  <si>
    <t>Tassello</t>
  </si>
  <si>
    <t>Klima Air 30 mm</t>
  </si>
  <si>
    <t>Klima Air 40 mm</t>
  </si>
  <si>
    <t>Klima Air 50 mm</t>
  </si>
  <si>
    <t>Klima Air 60 mm</t>
  </si>
  <si>
    <t>Klima Air 80 mm</t>
  </si>
  <si>
    <t>Klima Air 100 mm</t>
  </si>
  <si>
    <t>Klima Air 120 mm</t>
  </si>
  <si>
    <t>Klima Air 140 mm</t>
  </si>
  <si>
    <t>Klima Air 150 mm</t>
  </si>
  <si>
    <t>Klima Air 160 mm</t>
  </si>
  <si>
    <t>Klima Air 180 mm</t>
  </si>
  <si>
    <t>Klima Air 200 mm</t>
  </si>
  <si>
    <t>Klima Air Black 30 mm</t>
  </si>
  <si>
    <t>Klima Air Black 40 mm</t>
  </si>
  <si>
    <t>Klima Air Black 50 mm</t>
  </si>
  <si>
    <t>Klima Air Black 60 mm</t>
  </si>
  <si>
    <t>Klima Air Black 80 mm</t>
  </si>
  <si>
    <t>Klima Air Black 100 mm</t>
  </si>
  <si>
    <t>Klima Air Black 120 mm</t>
  </si>
  <si>
    <t>Klima Air Black 140 mm</t>
  </si>
  <si>
    <t>Klima Airplus 100 mm</t>
  </si>
  <si>
    <t>Klima Airplus 120 mm</t>
  </si>
  <si>
    <t>Klima Airplus 140 mm</t>
  </si>
  <si>
    <t>Klima Airplus 150 mm</t>
  </si>
  <si>
    <t>Klima Airplus 160 mm</t>
  </si>
  <si>
    <t>Klima Airplus 180 mm</t>
  </si>
  <si>
    <t>Klima Airplus 200 mm</t>
  </si>
  <si>
    <t>Klima Airtech 80 mm</t>
  </si>
  <si>
    <t>Klima Airtech 100 mm</t>
  </si>
  <si>
    <t>Klima Airtech 120 mm</t>
  </si>
  <si>
    <t>Klima Airtech 140 mm</t>
  </si>
  <si>
    <t>Klima Airtech 160 mm</t>
  </si>
  <si>
    <t>Klima Airtech 180 mm</t>
  </si>
  <si>
    <t>Klima Airtech 200 mm</t>
  </si>
  <si>
    <t>Klima Airwool 50 mm</t>
  </si>
  <si>
    <t>Klima Airwool 60 mm</t>
  </si>
  <si>
    <t>Klima Airwool 80 mm</t>
  </si>
  <si>
    <t>Klima Airwool 100 mm</t>
  </si>
  <si>
    <t>Klima Airwool 120 mm</t>
  </si>
  <si>
    <t>Klima Airwool 140 mm</t>
  </si>
  <si>
    <t>Klima Airwool 160 mm</t>
  </si>
  <si>
    <t>Klima Airwool 180 mm</t>
  </si>
  <si>
    <t>Klima Airwool 200 mm</t>
  </si>
  <si>
    <t>Klima Airwool Plus 50 mm</t>
  </si>
  <si>
    <t>Klima Airwool Plus 60 mm</t>
  </si>
  <si>
    <t>Klima Airwool Plus 80 mm</t>
  </si>
  <si>
    <t>Klima Airwool Plus 100 mm</t>
  </si>
  <si>
    <t>Klima Airwool Plus 120 mm</t>
  </si>
  <si>
    <t>Klima Airwool Plus 140 mm</t>
  </si>
  <si>
    <t>Klima Airwool Plus 160 mm</t>
  </si>
  <si>
    <t>Klima Airwool Plus 180 mm</t>
  </si>
  <si>
    <t>Klima Airwool Plus 200 mm</t>
  </si>
  <si>
    <t>tasselli a scomparsa in polipropilene con chiodo in acciaio</t>
  </si>
  <si>
    <t>tasselli ad espansione in polipropilene con chiodo in acciaio</t>
  </si>
  <si>
    <t>tasselli a percussione in polipropilene con chiodo misto in acciaio e nylon</t>
  </si>
  <si>
    <t>tasselli a percussione in polipropilene con chiodo in nylon</t>
  </si>
  <si>
    <t>fondo intermedio organico minerale a base di resine silossaniche all'acqua</t>
  </si>
  <si>
    <t>fondo intermedio organico minerale a base di resine stirolo acriliche all'acqua</t>
  </si>
  <si>
    <t>fondo intermedio riempitivo naturale a base di puro silicato di potassio</t>
  </si>
  <si>
    <t>strato superficiale di protezione e decorazione</t>
  </si>
  <si>
    <t>L'adesivo&amp;rasante minerale, monocomponente, è specifico per la realizzazione di sistemi isolanti a cappotto, classe di reazione al fuoco A1 secondo EN 13501-1 e conducibilità termica (λ10, dry)=0,45 W/mK.</t>
  </si>
  <si>
    <t>L'adesivo&amp;rasante minerale, monocomponente, è specifico per la realizzazione di sistemi isolanti a cappotto, classe di reazione al fuoco A1 secondo EN 13501-1 e conducibilità termica (λ10, dry)=0,46 W/mK.</t>
  </si>
  <si>
    <t>L'adesivo&amp;rasante minerale, monocomponente, è specifico per la realizzazione di sistemi isolanti a cappotto, classe di reazione al fuoco A2–s1, d0 secondo EN 13501-1 e conducibilità termica (λ10, dry)=0,44 W/mK.</t>
  </si>
  <si>
    <t>L'adesivo&amp;rasante alleggerito minerale, monocomponente, è specifico per la realizzazione di sistemi isolanti a cappotto, classe di reazione al fuoco A1 secondo EN 13501-1 e conducibilità termica (λ10, dry)=0,27 W/mK.</t>
  </si>
  <si>
    <t>L'adesivo&amp;rasante a base di pura calce idraulica naturale NHL 3.5, alleggerito minerale, monocomponente, è specifico per la realizzazione di sistemi isolanti a cappotto, classe di reazione al fuoco A1 secondo EN 13501-1 e conducibilità termica (λ10, dry)=0,28 W/mK.</t>
  </si>
  <si>
    <t>rete in fibra di vetro alcali resistente (peso circa 145 gr/mq)</t>
  </si>
  <si>
    <t xml:space="preserve">La rete, idonea per l'uso all'interno di sistemi ETICS, ha una resistenza a trazione ≥ 1800 N/5 cm con una luce delle maglie ≈ 4x4 mm e spessore ≈ 0,45 mm. </t>
  </si>
  <si>
    <t>rete in fibra di vetro alcali resistente (peso circa 160 gr/mq)</t>
  </si>
  <si>
    <t xml:space="preserve">La rete, idonea per l'uso all'interno di sistemi ETICS, ha una resistenza a trazione ≥ 1900 N/5 cm con una luce delle maglie ≈ 4x4 mm e spessore ≈ 0,45 mm. </t>
  </si>
  <si>
    <t>Costruzione voce analisi prezzo</t>
  </si>
  <si>
    <t xml:space="preserve">, </t>
  </si>
  <si>
    <t>NTAS</t>
  </si>
  <si>
    <t>Lunghezza tassello</t>
  </si>
  <si>
    <t>Voce analisi prezzo concatenata</t>
  </si>
  <si>
    <t xml:space="preserve"> e strato superficiale di protezione e decorazione. </t>
  </si>
  <si>
    <t xml:space="preserve">Fornitura e posa in opera di sistema di isolamento a cappotto esterno assemblato con l'impiego di </t>
  </si>
  <si>
    <t xml:space="preserve">Fornitura e posa in opera di sistema assemblato realizzato con l'impiego di </t>
  </si>
  <si>
    <t>Incollaggio dei pannelli termoisolanti</t>
  </si>
  <si>
    <t>Realizzazione di rasatura armata</t>
  </si>
  <si>
    <t>Prodotto 1</t>
  </si>
  <si>
    <t>Prodotto 2</t>
  </si>
  <si>
    <t>Prodotto 3</t>
  </si>
  <si>
    <t>Prodotto 4</t>
  </si>
  <si>
    <t>Prodotto 5</t>
  </si>
  <si>
    <t>Prodotto 6</t>
  </si>
  <si>
    <t>Prodotto 7</t>
  </si>
  <si>
    <t>Prodotto 8</t>
  </si>
  <si>
    <t>Prodotto 9</t>
  </si>
  <si>
    <t>Prodotto 10</t>
  </si>
  <si>
    <t>Prodotto 11</t>
  </si>
  <si>
    <t>Prodotto 12</t>
  </si>
  <si>
    <t>Prodotto 13</t>
  </si>
  <si>
    <t>Prodotto 14</t>
  </si>
  <si>
    <t>Prodotto 15</t>
  </si>
  <si>
    <t>Prodotto 16</t>
  </si>
  <si>
    <t>Prodotto 17</t>
  </si>
  <si>
    <t>Prodotto 18</t>
  </si>
  <si>
    <t>Prodotto 19</t>
  </si>
  <si>
    <t>Prodotto 20</t>
  </si>
  <si>
    <t>Prodotto 21</t>
  </si>
  <si>
    <t>Keraklima Eco Bianco (Adesivo)</t>
  </si>
  <si>
    <t>Keraklima Eco Grigio (Adesivo)</t>
  </si>
  <si>
    <t>Keraklima Eco Granello (Adesivo)</t>
  </si>
  <si>
    <t>Klima Flex (Adesivo)</t>
  </si>
  <si>
    <t>Klima Light (Adesivo)</t>
  </si>
  <si>
    <t>Klima Fix Bianco (Adesivo)</t>
  </si>
  <si>
    <t>Klima Fix Grigio (Adesivo)</t>
  </si>
  <si>
    <t>Klima Light Calce (Adesivo)</t>
  </si>
  <si>
    <t>Keraklima Eco Bianco (Rasante)</t>
  </si>
  <si>
    <t>Keraklima Eco Grigio (Rasante)</t>
  </si>
  <si>
    <t>Keraklima Eco Granello (Rasante)</t>
  </si>
  <si>
    <t>Klima Flex (Rasante)</t>
  </si>
  <si>
    <t>Klima Light (Rasante)</t>
  </si>
  <si>
    <t>Klima Fix Bianco (Rasante)</t>
  </si>
  <si>
    <t>Klima Fix Grigio (Rasante)</t>
  </si>
  <si>
    <t>Klima Light Calce (Rasante)</t>
  </si>
  <si>
    <t>Resa 1 (kg/mq)</t>
  </si>
  <si>
    <t>Resa 2 (kg/mq)</t>
  </si>
  <si>
    <t>Tassello a percussione Acciaio/Nylon 110/70</t>
  </si>
  <si>
    <t>Tassello Avvitabile Acciaio</t>
  </si>
  <si>
    <t>Tassello Avvitabile Acciaio 110/70</t>
  </si>
  <si>
    <t>Tassello Avvitabile Acciaio 130/90</t>
  </si>
  <si>
    <t>Tassello Avvitabile Acciaio 145/110</t>
  </si>
  <si>
    <t>Tassello Avvitabile Acciaio 165/130</t>
  </si>
  <si>
    <t>Tassello Avvitabile Acciaio 185/150</t>
  </si>
  <si>
    <t>Tassello Avvitabile Acciaio 205/170</t>
  </si>
  <si>
    <t>Tassello Avvitabile Acciaio 225/190</t>
  </si>
  <si>
    <t>Tassello Avvitabile Acciaio 245/210</t>
  </si>
  <si>
    <t>Tassello Avvitabile Acciaio 265/230</t>
  </si>
  <si>
    <t>Tassello Avvitabile Acciaio 290/250</t>
  </si>
  <si>
    <t>Tassello Avvitabile Acciaio 310/270</t>
  </si>
  <si>
    <t>Tassello a percussione Acciaio/Nylon 130/90</t>
  </si>
  <si>
    <t>Tassello a percussione Acciaio/Nylon 150/110</t>
  </si>
  <si>
    <t>Tassello a percussione Acciaio/Nylon 170/130</t>
  </si>
  <si>
    <t>Tassello a percussione Acciaio/Nylon 190/150</t>
  </si>
  <si>
    <t>Tassello a percussione Acciaio/Nylon 210/170</t>
  </si>
  <si>
    <t>Tassello a percussione Acciaio/Nylon 230/190</t>
  </si>
  <si>
    <t>Tassello a percussione Acciaio/Nylon 250/210</t>
  </si>
  <si>
    <t>Tassello a percussione Acciaio/Nylon 270/230</t>
  </si>
  <si>
    <t>Tassello a percussione Acciaio/Nylon 290/250</t>
  </si>
  <si>
    <t>Tassello a percussione Acciaio/Nylon 310/270</t>
  </si>
  <si>
    <t>Tassello a percussione Nylon 90/40</t>
  </si>
  <si>
    <t>Tassello a percussione Nylon 110/70</t>
  </si>
  <si>
    <t>Tassello a percussione Nylon 130/90</t>
  </si>
  <si>
    <t>Tassello a percussione Nylon 150/110</t>
  </si>
  <si>
    <t>Tassello a percussione Nylon 170/130</t>
  </si>
  <si>
    <t>Tassello a percussione Nylon 190/150</t>
  </si>
  <si>
    <t>Tassello a percussione Nylon 210/170</t>
  </si>
  <si>
    <t>Tassello a percussione Nylon 230/190</t>
  </si>
  <si>
    <t>Tassello SGR a percussione Nylon 110/70</t>
  </si>
  <si>
    <t>Tassello SGR a percussione Nylon 130/90</t>
  </si>
  <si>
    <t>Tassello SGR a percussione Nylon 150/110</t>
  </si>
  <si>
    <t>Tassello SGR a percussione Nylon 170/130</t>
  </si>
  <si>
    <t>Tassello SGR a percussione Nylon 190/150</t>
  </si>
  <si>
    <t>Tassello SGR a percussione Nylon 210/170</t>
  </si>
  <si>
    <t>Tassello SGR a percussione Nylon 230/190</t>
  </si>
  <si>
    <t>Tassello SGR a percussione Nylon 250/210</t>
  </si>
  <si>
    <t>Prezzo_AIR</t>
  </si>
  <si>
    <t>Prezzo_AIR BLACK</t>
  </si>
  <si>
    <t>Biocalce Silicato Puro 1.0 Bianco</t>
  </si>
  <si>
    <t>Biocalce Silicato Puro 1.0 Colorato B</t>
  </si>
  <si>
    <t>Biocalce Silicato Puro 1.0 Colorato A</t>
  </si>
  <si>
    <t>Biocalce Silicato Puro 1.0 Colorato AA</t>
  </si>
  <si>
    <t>Biocalce Silicato Puro 1.2 Bianco</t>
  </si>
  <si>
    <t>Biocalce Silicato Puro 1.2 Colorato B</t>
  </si>
  <si>
    <t>Biocalce Silicato Puro 1.2 Colorato A</t>
  </si>
  <si>
    <t>Biocalce Silicato Puro 1.2 Colorato AA</t>
  </si>
  <si>
    <t>Biocalce Silicato Puro 1.5 Bianco</t>
  </si>
  <si>
    <t>Biocalce Silicato Puro 1.5 Colorato B</t>
  </si>
  <si>
    <t>Biocalce Silicato Puro 1.5 Colorato A</t>
  </si>
  <si>
    <t>Biocalce Silicato Puro 1.5 Colorato AA</t>
  </si>
  <si>
    <t>Kerakover Silox Finish 1.0 Bianco</t>
  </si>
  <si>
    <t>Kerakover Silox Finish 1.0 Colorato B</t>
  </si>
  <si>
    <t>Kerakover Silox Finish 1.0 Colorato A</t>
  </si>
  <si>
    <t>Kerakover Silox Finish 1.0 Colorato AA</t>
  </si>
  <si>
    <t>Kerakover Silox Finish 1.0 Solar Scud</t>
  </si>
  <si>
    <t>Kerakover Silox Finish 1.2 Bianco</t>
  </si>
  <si>
    <t>Kerakover Silox Finish 1.2 Colorato B</t>
  </si>
  <si>
    <t>Kerakover Silox Finish 1.2 Colorato A</t>
  </si>
  <si>
    <t>Kerakover Silox Finish 1.2 Colorato AA</t>
  </si>
  <si>
    <t>Kerakover Silox Finish 1.2 Solar Scud</t>
  </si>
  <si>
    <t>Kerakover Silox Finish 1.5 Bianco</t>
  </si>
  <si>
    <t>Kerakover Silox Finish 1.5 Colorato B</t>
  </si>
  <si>
    <t>Kerakover Silox Finish 1.5 Colorato A</t>
  </si>
  <si>
    <t>Kerakover Silox Finish 1.5 Colorato AA</t>
  </si>
  <si>
    <t>Kerakover Silox Finish 1.5 Solar Scud</t>
  </si>
  <si>
    <t>Kerakover Kompact New Fine (1.2) Bianco</t>
  </si>
  <si>
    <t>Kerakover Kompact New Fine (1.2) Colorato B</t>
  </si>
  <si>
    <t>Kerakover Kompact New Fine (1.2) Colorato A</t>
  </si>
  <si>
    <t>Kerakover Kompact New Fine (1.2) Colorato AA</t>
  </si>
  <si>
    <t>Kerakover Kompact New Fine (1.2) Solar Scud</t>
  </si>
  <si>
    <t>Kerakover Kompact Medio (1.5) Bianco</t>
  </si>
  <si>
    <t>Kerakover Kompact Medio (1.5) Colorato B</t>
  </si>
  <si>
    <t>Kerakover Kompact Medio (1.5) Colorato A</t>
  </si>
  <si>
    <t>Kerakover Kompact Medio (1.5) Colorato AA</t>
  </si>
  <si>
    <t>Kerakover Kompact Medio (1.5) Solar Scud</t>
  </si>
  <si>
    <t xml:space="preserve">Kerakover Acrilex Finish 1.0 </t>
  </si>
  <si>
    <t xml:space="preserve">Kerakover Acrilex Finish 1.2 </t>
  </si>
  <si>
    <t xml:space="preserve">Kerakover Acrilex Finish 1.5 </t>
  </si>
  <si>
    <t>Kerakover Acrilex Finish 1.0 Bianco</t>
  </si>
  <si>
    <t>Kerakover Acrilex Finish 1.0 Colorato B</t>
  </si>
  <si>
    <t>Kerakover Acrilex Finish 1.0 Colorato A</t>
  </si>
  <si>
    <t>Kerakover Acrilex Finish 1.0 Colorato AA</t>
  </si>
  <si>
    <t>Kerakover Acrilex Finish 1.2 Bianco</t>
  </si>
  <si>
    <t>Kerakover Acrilex Finish 1.2 Colorato B</t>
  </si>
  <si>
    <t>Kerakover Acrilex Finish 1.2 Colorato A</t>
  </si>
  <si>
    <t>Kerakover Acrilex Finish 1.2 Colorato AA</t>
  </si>
  <si>
    <t>Kerakover Acrilex Finish 1.5 Bianco</t>
  </si>
  <si>
    <t>Kerakover Acrilex Finish 1.5 Colorato B</t>
  </si>
  <si>
    <t>Kerakover Acrilex Finish 1.5 Colorato A</t>
  </si>
  <si>
    <t>Kerakover Acrilex Finish 1.5 Colorato AA</t>
  </si>
  <si>
    <t>Peso (kg/mq)</t>
  </si>
  <si>
    <t>Applicazione di sistema a cappotto assemblato per pannello in EPS</t>
  </si>
  <si>
    <t>Applicazione di sistema a cappotto assemblato per pannello in poliuretano</t>
  </si>
  <si>
    <t>Applicazione di sistema a cappotto assemblato per pannello in resina fenolica</t>
  </si>
  <si>
    <t>Applicazione di sistema a cappotto assemblato per pannello in lana di roccia</t>
  </si>
  <si>
    <t>Applicazione di sistema a cappotto assemblato per pannello in lana di vetro</t>
  </si>
  <si>
    <t>Applicazione di sistema a cappotto assemblato per pannello in aerogel</t>
  </si>
  <si>
    <t>Applicazione di sistema a cappotto assemblato per pannello in sughero</t>
  </si>
  <si>
    <t>Applicazione di sistema a cappotto assemblato per pannello in fibra di legno</t>
  </si>
  <si>
    <t>Immagine</t>
  </si>
  <si>
    <t>Kerakover Kompact New Medio (1.5) Colorato B</t>
  </si>
  <si>
    <t>Kerakover Kompact New Medio (1.5) Colorato A</t>
  </si>
  <si>
    <t>Kerakover Kompact New Medio (1.5) Colorato AA</t>
  </si>
  <si>
    <t>Kerakover Kompact New Medio (1.5) Solar Scud</t>
  </si>
  <si>
    <t>Kerakover Kompact New Medio (1.5) Bianco</t>
  </si>
  <si>
    <t>mq/mq</t>
  </si>
  <si>
    <t>n°/mq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</si>
  <si>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</si>
  <si>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t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</si>
  <si>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</si>
  <si>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</si>
  <si>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</si>
  <si>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</si>
  <si>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</si>
  <si>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</si>
  <si>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</si>
  <si>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</si>
  <si>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</si>
  <si>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</si>
  <si>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</si>
  <si>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</si>
  <si>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</si>
  <si>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</si>
  <si>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</si>
  <si>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</si>
  <si>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</si>
  <si>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</si>
  <si>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</si>
  <si>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</si>
  <si>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</si>
  <si>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</si>
  <si>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</si>
  <si>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</si>
  <si>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</si>
  <si>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</si>
  <si>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</si>
  <si>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</si>
  <si>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</si>
  <si>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</si>
  <si>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</si>
  <si>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</si>
  <si>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</si>
  <si>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</si>
  <si>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</si>
  <si>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</si>
  <si>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</si>
  <si>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</si>
  <si>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</si>
  <si>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</si>
  <si>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</si>
  <si>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</si>
  <si>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</si>
  <si>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</si>
  <si>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</si>
  <si>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</si>
  <si>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</si>
  <si>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>λD pari a 0,034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</si>
  <si>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</si>
  <si>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t>pannello isolante in polistirene espanso sinterizzato (EPS) bianco marcato CE secondo EN 13163 a specifico uso ETICS</t>
  </si>
  <si>
    <t>pannello isolante in polistirene grafitato espanso sinterizzato (EPS) grigio con detensionamenti frontali e nervature posteriori a coda di rondine marcato CE secondo EN 13163 a specifico uso ETICS</t>
  </si>
  <si>
    <t>pannello isolante in polistirene espanso sinterizzato (EPS) bianco con detensionamenti frontali e nervature posteriori a coda di rondine marcato CE secondo EN 13163 a specifico uso ETICS</t>
  </si>
  <si>
    <t>pannello isolante in lana di roccia monodensità (MW) marcato CE secondo EN 13162 a specifico uso ETICS</t>
  </si>
  <si>
    <t>Lo strato di finitura è realizzato mediante rivestimento minerale fibrato ad effetto compatto, a base di resine acriliche e silossani idrofobizzanti, ad elevata protezione contro gli agenti atmosferici, l'inquinamento e i batteri, funghi e alghe, previa applicazione di fondo intermedio corrispondente. Permeabilità all'acqua liquida classe W3 (bassa) secondo EN 1062-3, adesione ≥ 0,3 MPa secondo EN 1542. Conducibilità termica λ=1,20 W/mK secondo EN 1745.</t>
  </si>
  <si>
    <t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t>
  </si>
  <si>
    <t>Lo strato di finitura è realizzato mediante rivestimento minerale ad effetto compatto, a base di resine silossaniche all'acqua, ad elevata traspirabilità e protezione contro gli agenti atmosferici, l'inquinamento, batteri, funghi e alghe,  previa applicazione di fondo intermedio corrispondente. Permeabilità al vapore acqueo classe V1 (alta), permeabilità all'acqua liquida classe W3 (bassa) secondo EN 1062-3, adesione ≥ 0,3 MPa secondo EN 1542. Conducibilità termica λ=1,21 W/mK secondo EN 1745.</t>
  </si>
  <si>
    <t>Lo strato di finitura è realizzato mediante puro silicato di potassio, previa applicazione di fondo intermedio corrispondente. Permeabilità al vapore acqueo classe V1 (alta), permeabilità all'acqua liquida classe W3 (bassa) secondo EN 1062-3, adesione ≥ 0,3 MPa secondo EN 1542. Conducibilità termica λ=0,98 W/mK secondo EN 1745.</t>
  </si>
  <si>
    <t>pannello isolante in polistirene grafitato espanso sinterizzato (EPS) grigio marcato CE secondo EN 13163 a specifico uso ETICS</t>
  </si>
  <si>
    <t>ASSEMBLATO EPS KLIMA AIR</t>
  </si>
  <si>
    <t>ASSEMBLATO EPS KLIMA AIR BLACK</t>
  </si>
  <si>
    <t>ASSEMBLATO EPS KLIMA AIRPLUS</t>
  </si>
  <si>
    <t>ASSEMBLATO EPS KLIMA AIRTECH</t>
  </si>
  <si>
    <t>ASSEMBLATO MW KLIMA AIRWOOL PLUS</t>
  </si>
  <si>
    <t>KLIMAEXPERT ETA EPS AIR</t>
  </si>
  <si>
    <t>KLIMAEXPERT ETA EPS AIR BLACK</t>
  </si>
  <si>
    <t>KLIMAEXPERT ETA EPS AIRPLUS</t>
  </si>
  <si>
    <t>KLIMAEXPERT ETA EPS AIRTECH</t>
  </si>
  <si>
    <t>KLIMAEXPERT ETA MW AIRWOOL</t>
  </si>
  <si>
    <t>KLIMAEXPERT ETA MW AIRWOOL PLUS</t>
  </si>
  <si>
    <t>Applicazione di sistema a cappotto KlimaExpert ETA con pannello Klima Airwool</t>
  </si>
  <si>
    <t xml:space="preserve">Applicazione di sistema a cappotto KlimaExpert ETA con pannello Klima Airwool Plus </t>
  </si>
  <si>
    <t>ASSEMBLATO MW KLIMA AIRWOOL</t>
  </si>
  <si>
    <t>Applicazione di sistema a cappotto assemblato con pannello Klima Airwool</t>
  </si>
  <si>
    <t xml:space="preserve">ECO DUR ZETA </t>
  </si>
  <si>
    <t>SP_ECO</t>
  </si>
  <si>
    <t>Eco Dur Zeta</t>
  </si>
  <si>
    <t>220 mm</t>
  </si>
  <si>
    <t>T_3</t>
  </si>
  <si>
    <t xml:space="preserve">Fornitura e posa in opera di sistema di isolamento di zoccolature fuori terra e isolamento perimetrale contro terra realizzato con l'impiego di </t>
  </si>
  <si>
    <t>Eco Dur Zeta 40 mm</t>
  </si>
  <si>
    <t>Eco Dur Zeta 50 mm</t>
  </si>
  <si>
    <t>Eco Dur Zeta 60 mm</t>
  </si>
  <si>
    <t>Eco Dur Zeta 80 mm</t>
  </si>
  <si>
    <t>Eco Dur Zeta 100 mm</t>
  </si>
  <si>
    <t>Eco Dur Zeta 120 mm</t>
  </si>
  <si>
    <t>Eco Dur Zeta 140 mm</t>
  </si>
  <si>
    <t>Eco Dur Zeta 150 mm</t>
  </si>
  <si>
    <t>Eco Dur Zeta 160 mm</t>
  </si>
  <si>
    <t>Eco Dur Zeta 180 mm</t>
  </si>
  <si>
    <t>Eco Dur Zeta 200 mm</t>
  </si>
  <si>
    <t>Eco Dur Zeta 220 mm</t>
  </si>
  <si>
    <t>pannello isolante in polistirene espanso sinterizzato (EPS) arancione chiaro stampato a celle chiuse ad elevata densità marcato CE secondo EN 13163 a specifico uso ETICS</t>
  </si>
  <si>
    <t>Il pannello ha le seguenti caratteristiche: dimensioni 1000x500 mm, spessore 40 mm, classe di reazione al fuoco E secondo EN 13501-1 e conducibilità termica dichiarata λD pari a 0,033 W/mK.</t>
  </si>
  <si>
    <t>Il pannello ha le seguenti caratteristiche: dimensioni 1000x500 mm, spessore 50 mm, classe di reazione al fuoco E secondo EN 13501-1 e conducibilità termica dichiarata λD pari a 0,033 W/mK.</t>
  </si>
  <si>
    <t>Il pannello ha le seguenti caratteristiche: dimensioni 1000x500 mm, spessore 60 mm, classe di reazione al fuoco E secondo EN 13501-1 e conducibilità termica dichiarata λD pari a 0,033 W/mK.</t>
  </si>
  <si>
    <t>Il pannello ha le seguenti caratteristiche: dimensioni 1000x500 mm, spessore 80 mm, classe di reazione al fuoco E secondo EN 13501-1 e conducibilità termica dichiarata λD pari a 0,033 W/mK.</t>
  </si>
  <si>
    <t>Il pannello ha le seguenti caratteristiche: dimensioni 1000x500 mm, spessore 100 mm, classe di reazione al fuoco E secondo EN 13501-1 e conducibilità termica dichiarata λD pari a 0,033 W/mK.</t>
  </si>
  <si>
    <t>Il pannello ha le seguenti caratteristiche: dimensioni 1000x500 mm, spessore 120 mm, classe di reazione al fuoco E secondo EN 13501-1 e conducibilità termica dichiarata λD pari a 0,033 W/mK.</t>
  </si>
  <si>
    <t>Il pannello ha le seguenti caratteristiche: dimensioni 1000x500 mm, spessore 140 mm, classe di reazione al fuoco E secondo EN 13501-1 e conducibilità termica dichiarata λD pari a 0,033 W/mK.</t>
  </si>
  <si>
    <t>Il pannello ha le seguenti caratteristiche: dimensioni 1000x500 mm, spessore 150 mm, classe di reazione al fuoco E secondo EN 13501-1 e conducibilità termica dichiarata λD pari a 0,033 W/mK.</t>
  </si>
  <si>
    <t>Il pannello ha le seguenti caratteristiche: dimensioni 1000x500 mm, spessore 160 mm, classe di reazione al fuoco E secondo EN 13501-1 e conducibilità termica dichiarata λD pari a 0,033 W/mK.</t>
  </si>
  <si>
    <t>Il pannello ha le seguenti caratteristiche: dimensioni 1000x500 mm, spessore 180 mm, classe di reazione al fuoco E secondo EN 13501-1 e conducibilità termica dichiarata λD pari a 0,033 W/mK.</t>
  </si>
  <si>
    <t>Il pannello ha le seguenti caratteristiche: dimensioni 1000x500 mm, spessore 200 mm, classe di reazione al fuoco E secondo EN 13501-1 e conducibilità termica dichiarata λD pari a 0,033 W/mK.</t>
  </si>
  <si>
    <t>Il pannello ha le seguenti caratteristiche: dimensioni 1000x500 mm, spessore 220 mm, classe di reazione al fuoco E secondo EN 13501-1 e conducibilità termica dichiarata λD pari a 0,033 W/mK.</t>
  </si>
  <si>
    <t>Tassello a scomparsa EcoTwist 10-30</t>
  </si>
  <si>
    <t>Isolamento di zoccolature fuori terra e isolamento perimetrale contro terra con pannello Eco Dur Zeta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</si>
  <si>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</si>
  <si>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</si>
  <si>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</si>
  <si>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>Klima HP</t>
  </si>
  <si>
    <t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t>
  </si>
  <si>
    <t>Rasante</t>
  </si>
  <si>
    <t>RA_1</t>
  </si>
  <si>
    <t>Rasanti</t>
  </si>
  <si>
    <t>Adesivo</t>
  </si>
  <si>
    <t>L'adesivo minerale, monocomponente, è specifico per la realizzazione di sistemi isolanti a cappotto, classe di reazione al fuoco A1 secondo EN 13501-1 e conducibilità termica (λ10, dry)=0,45 W/mK.</t>
  </si>
  <si>
    <t>rasante minerale fibrato</t>
  </si>
  <si>
    <t xml:space="preserve">Fornitura e posa in opera di sistema di isolamento a cappotto esterno provvisto di marcatura CE secondo benestare tecnico Europeo ETA con classe di reazione al fuoco A2-S1,d0, realizzato con l'impiego di  </t>
  </si>
  <si>
    <t xml:space="preserve">Fornitura e posa in opera di sistema di isolamento a cappotto esterno senza tasselli provvisto di marcatura CE secondo benestare tecnico Europeo ETA con classe di reazione al fuoco B-S1,d0, realizzato con l'impiego di  </t>
  </si>
  <si>
    <t xml:space="preserve">Fornitura e posa in opera di sistema di isolamento a cappotto esterno provvisto di marcatura CE secondo benestare tecnico Europeo ETA con classe di reazione al fuoco B-S1,d0, realizzato con l'impiego di  </t>
  </si>
  <si>
    <t>Klima HP (Rasante)</t>
  </si>
  <si>
    <t>S</t>
  </si>
  <si>
    <t>N</t>
  </si>
  <si>
    <t>L'adesivo&amp;rasante minerale, monocomponente, è specifico per la realizzazione di sistemi isolanti a cappotto, classe di reazione al fuoco A1 secondo EN 13501-1 e conducibilità termica (λ10, dry)=0,43 W/mK.</t>
  </si>
  <si>
    <t>RA_2</t>
  </si>
  <si>
    <t>RA_3</t>
  </si>
  <si>
    <t>RA_4</t>
  </si>
  <si>
    <t>Tassello SGR a percussione Acciaio/Nylon 110/70</t>
  </si>
  <si>
    <t>Tassello SGR a percussione Acciaio/Nylon 130/90</t>
  </si>
  <si>
    <t>Tassello SGR a percussione Acciaio/Nylon 150/110</t>
  </si>
  <si>
    <t>Tassello SGR a percussione Acciaio/Nylon 170/130</t>
  </si>
  <si>
    <t>Tassello SGR a percussione Acciaio/Nylon 190/150</t>
  </si>
  <si>
    <t>Tassello SGR a percussione Acciaio/Nylon 210/170</t>
  </si>
  <si>
    <t>Tassello SGR a percussione Acciaio/Nylon 230/190</t>
  </si>
  <si>
    <t>Tassello SGR a percussione Acciaio/Nylon 250/210</t>
  </si>
  <si>
    <t>Tassello SGR a percussione Acciaio/Nylon 270/230</t>
  </si>
  <si>
    <t>Tassello SGR a percussione Acciaio/Nylon 290/250</t>
  </si>
  <si>
    <t>Tassello SGR a percussione Acciaio/Nylon 310/270</t>
  </si>
  <si>
    <t>* Prezzi materiali Kerakoll = Listino 07-2025. Prezzi manodopera = Prezziario DEI (I Semestre 2025) - Media Nazionale.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</si>
</sst>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[$€-2]\ #,##0.00"/>
    <numFmt numFmtId="166" formatCode="[$€-2]\ #,##0.000"/>
    <numFmt numFmtId="167" formatCode="[$€-2]\ #,##0.00;[Red]\-[$€-2]\ #,##0.00"/>
    <numFmt numFmtId="168" formatCode="[$€-2]\ #,##0.000;[Red]\-[$€-2]\ #,##0.000"/>
  </numFmts>
  <fonts count="2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10"/>
      <name val="Calibri"/>
      <family val="2"/>
    </font>
    <font>
      <b/>
      <sz val="10"/>
      <color theme="1"/>
      <name val="Arial"/>
      <family val="2"/>
    </font>
    <font>
      <b/>
      <sz val="14"/>
      <color rgb="FFAFCDAF"/>
      <name val="Arial"/>
      <family val="2"/>
    </font>
    <font>
      <b/>
      <sz val="19.899999999999999"/>
      <color rgb="FF414141"/>
      <name val="Arial"/>
      <family val="2"/>
    </font>
    <font>
      <b/>
      <sz val="14"/>
      <color rgb="FF414141"/>
      <name val="Arial"/>
      <family val="2"/>
    </font>
    <font>
      <sz val="10"/>
      <color rgb="FF414141"/>
      <name val="Arial"/>
      <family val="2"/>
    </font>
    <font>
      <sz val="11"/>
      <color rgb="FF414141"/>
      <name val="Arial"/>
      <family val="2"/>
    </font>
    <font>
      <b/>
      <sz val="11"/>
      <color rgb="FF414141"/>
      <name val="Arial"/>
      <family val="2"/>
    </font>
    <font>
      <b/>
      <u/>
      <sz val="14"/>
      <color rgb="FF414141"/>
      <name val="Arial"/>
      <family val="2"/>
    </font>
    <font>
      <sz val="19.899999999999999"/>
      <color rgb="FF414141"/>
      <name val="Arial"/>
      <family val="2"/>
    </font>
    <font>
      <b/>
      <sz val="11"/>
      <color rgb="FF414141"/>
      <name val="Calibri"/>
      <family val="2"/>
      <scheme val="minor"/>
    </font>
    <font>
      <i/>
      <sz val="11"/>
      <color rgb="FF414141"/>
      <name val="Calibri"/>
      <family val="2"/>
      <scheme val="minor"/>
    </font>
    <font>
      <b/>
      <u/>
      <sz val="11"/>
      <color rgb="FF414141"/>
      <name val="Arial"/>
      <family val="2"/>
    </font>
    <font>
      <b/>
      <sz val="10"/>
      <color rgb="FF414141"/>
      <name val="Arial"/>
      <family val="2"/>
    </font>
    <font>
      <b/>
      <sz val="9"/>
      <color rgb="FF414141"/>
      <name val="Arial"/>
      <family val="2"/>
    </font>
    <font>
      <b/>
      <sz val="7"/>
      <color rgb="FF414141"/>
      <name val="Arial"/>
      <family val="2"/>
    </font>
    <font>
      <b/>
      <i/>
      <sz val="10"/>
      <color rgb="FF414141"/>
      <name val="Arial"/>
      <family val="2"/>
    </font>
    <font>
      <b/>
      <sz val="16"/>
      <color rgb="FF414141"/>
      <name val="Arial"/>
      <family val="2"/>
    </font>
    <font>
      <b/>
      <sz val="16"/>
      <color rgb="FFAFCDAF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AFCDAF"/>
        <bgColor indexed="9"/>
      </patternFill>
    </fill>
    <fill>
      <patternFill patternType="solid">
        <fgColor rgb="FFAFCDAF"/>
        <bgColor indexed="64"/>
      </patternFill>
    </fill>
    <fill>
      <patternFill patternType="solid">
        <fgColor theme="9" tint="0.39997558519241921"/>
        <bgColor indexed="64"/>
      </patternFill>
    </fill>
  </fills>
  <borders count="4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theme="1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238">
    <xf numFmtId="0" fontId="0" fillId="0" borderId="0" xfId="0"/>
    <xf numFmtId="0" fontId="6" fillId="0" borderId="0" xfId="0" applyFont="1"/>
    <xf numFmtId="0" fontId="5" fillId="0" borderId="0" xfId="0" applyFont="1"/>
    <xf numFmtId="2" fontId="0" fillId="0" borderId="0" xfId="0" applyNumberFormat="1"/>
    <xf numFmtId="0" fontId="0" fillId="0" borderId="19" xfId="0" applyBorder="1"/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0" xfId="0" applyAlignment="1">
      <alignment wrapText="1"/>
    </xf>
    <xf numFmtId="0" fontId="0" fillId="0" borderId="23" xfId="0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19" xfId="0" applyFont="1" applyBorder="1"/>
    <xf numFmtId="0" fontId="5" fillId="0" borderId="19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19" xfId="0" applyFont="1" applyBorder="1" applyAlignment="1">
      <alignment wrapText="1"/>
    </xf>
    <xf numFmtId="0" fontId="6" fillId="0" borderId="19" xfId="0" applyFont="1" applyBorder="1"/>
    <xf numFmtId="0" fontId="0" fillId="0" borderId="19" xfId="0" applyBorder="1" applyAlignment="1">
      <alignment wrapText="1"/>
    </xf>
    <xf numFmtId="2" fontId="5" fillId="0" borderId="0" xfId="0" applyNumberFormat="1" applyFont="1" applyAlignment="1">
      <alignment horizontal="right"/>
    </xf>
    <xf numFmtId="2" fontId="0" fillId="0" borderId="0" xfId="0" applyNumberFormat="1" applyAlignment="1">
      <alignment horizontal="right"/>
    </xf>
    <xf numFmtId="0" fontId="5" fillId="5" borderId="19" xfId="0" applyFont="1" applyFill="1" applyBorder="1"/>
    <xf numFmtId="0" fontId="0" fillId="5" borderId="19" xfId="0" applyFill="1" applyBorder="1"/>
    <xf numFmtId="0" fontId="0" fillId="5" borderId="0" xfId="0" applyFill="1"/>
    <xf numFmtId="0" fontId="6" fillId="5" borderId="19" xfId="0" applyFont="1" applyFill="1" applyBorder="1"/>
    <xf numFmtId="0" fontId="0" fillId="5" borderId="27" xfId="0" applyFill="1" applyBorder="1"/>
    <xf numFmtId="0" fontId="6" fillId="5" borderId="29" xfId="0" applyFont="1" applyFill="1" applyBorder="1"/>
    <xf numFmtId="0" fontId="6" fillId="5" borderId="13" xfId="0" applyFont="1" applyFill="1" applyBorder="1"/>
    <xf numFmtId="0" fontId="6" fillId="5" borderId="14" xfId="0" applyFont="1" applyFill="1" applyBorder="1"/>
    <xf numFmtId="0" fontId="5" fillId="5" borderId="31" xfId="0" applyFont="1" applyFill="1" applyBorder="1"/>
    <xf numFmtId="0" fontId="0" fillId="5" borderId="4" xfId="0" applyFill="1" applyBorder="1"/>
    <xf numFmtId="0" fontId="0" fillId="5" borderId="8" xfId="0" applyFill="1" applyBorder="1"/>
    <xf numFmtId="0" fontId="5" fillId="5" borderId="15" xfId="0" applyFont="1" applyFill="1" applyBorder="1"/>
    <xf numFmtId="0" fontId="0" fillId="5" borderId="6" xfId="0" applyFill="1" applyBorder="1"/>
    <xf numFmtId="0" fontId="6" fillId="5" borderId="27" xfId="0" applyFont="1" applyFill="1" applyBorder="1"/>
    <xf numFmtId="0" fontId="6" fillId="0" borderId="2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8" xfId="0" applyFont="1" applyBorder="1" applyAlignment="1">
      <alignment horizontal="center"/>
    </xf>
    <xf numFmtId="0" fontId="6" fillId="0" borderId="19" xfId="0" applyFont="1" applyBorder="1" applyAlignment="1">
      <alignment wrapText="1"/>
    </xf>
    <xf numFmtId="0" fontId="6" fillId="0" borderId="21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49" fontId="5" fillId="0" borderId="19" xfId="0" applyNumberFormat="1" applyFont="1" applyBorder="1"/>
    <xf numFmtId="168" fontId="0" fillId="0" borderId="19" xfId="0" applyNumberFormat="1" applyBorder="1"/>
    <xf numFmtId="167" fontId="0" fillId="4" borderId="19" xfId="0" applyNumberFormat="1" applyFill="1" applyBorder="1"/>
    <xf numFmtId="0" fontId="5" fillId="4" borderId="19" xfId="0" applyFont="1" applyFill="1" applyBorder="1" applyAlignment="1" applyProtection="1">
      <alignment wrapText="1"/>
      <protection locked="0"/>
    </xf>
    <xf numFmtId="0" fontId="0" fillId="0" borderId="19" xfId="0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17" xfId="0" applyFont="1" applyBorder="1"/>
    <xf numFmtId="0" fontId="0" fillId="0" borderId="14" xfId="0" applyBorder="1"/>
    <xf numFmtId="0" fontId="6" fillId="0" borderId="30" xfId="0" applyFont="1" applyBorder="1"/>
    <xf numFmtId="0" fontId="5" fillId="0" borderId="31" xfId="0" applyFont="1" applyBorder="1"/>
    <xf numFmtId="0" fontId="6" fillId="0" borderId="18" xfId="0" applyFont="1" applyBorder="1"/>
    <xf numFmtId="0" fontId="5" fillId="0" borderId="16" xfId="0" applyFont="1" applyBorder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24" xfId="0" applyFont="1" applyBorder="1" applyAlignment="1">
      <alignment horizontal="center"/>
    </xf>
    <xf numFmtId="0" fontId="0" fillId="0" borderId="13" xfId="0" applyBorder="1"/>
    <xf numFmtId="0" fontId="5" fillId="0" borderId="30" xfId="0" applyFont="1" applyBorder="1"/>
    <xf numFmtId="0" fontId="0" fillId="0" borderId="31" xfId="0" applyBorder="1"/>
    <xf numFmtId="0" fontId="5" fillId="0" borderId="18" xfId="0" applyFont="1" applyBorder="1"/>
    <xf numFmtId="0" fontId="0" fillId="0" borderId="15" xfId="0" applyBorder="1"/>
    <xf numFmtId="0" fontId="0" fillId="0" borderId="16" xfId="0" applyBorder="1"/>
    <xf numFmtId="0" fontId="6" fillId="5" borderId="34" xfId="0" applyFont="1" applyFill="1" applyBorder="1" applyAlignment="1">
      <alignment horizontal="center" vertical="center"/>
    </xf>
    <xf numFmtId="0" fontId="5" fillId="0" borderId="20" xfId="0" applyFont="1" applyBorder="1" applyAlignment="1">
      <alignment horizontal="center" wrapText="1"/>
    </xf>
    <xf numFmtId="49" fontId="6" fillId="3" borderId="17" xfId="0" applyNumberFormat="1" applyFont="1" applyFill="1" applyBorder="1"/>
    <xf numFmtId="0" fontId="6" fillId="3" borderId="14" xfId="0" applyFont="1" applyFill="1" applyBorder="1" applyAlignment="1">
      <alignment horizontal="center"/>
    </xf>
    <xf numFmtId="49" fontId="6" fillId="3" borderId="30" xfId="0" applyNumberFormat="1" applyFont="1" applyFill="1" applyBorder="1"/>
    <xf numFmtId="0" fontId="0" fillId="3" borderId="31" xfId="0" applyFill="1" applyBorder="1" applyAlignment="1">
      <alignment horizontal="center"/>
    </xf>
    <xf numFmtId="0" fontId="6" fillId="3" borderId="30" xfId="0" applyFont="1" applyFill="1" applyBorder="1" applyAlignment="1">
      <alignment horizontal="left"/>
    </xf>
    <xf numFmtId="49" fontId="6" fillId="3" borderId="18" xfId="0" quotePrefix="1" applyNumberFormat="1" applyFont="1" applyFill="1" applyBorder="1"/>
    <xf numFmtId="0" fontId="0" fillId="3" borderId="16" xfId="0" applyFill="1" applyBorder="1" applyAlignment="1">
      <alignment horizontal="center"/>
    </xf>
    <xf numFmtId="0" fontId="6" fillId="0" borderId="20" xfId="0" applyFont="1" applyBorder="1" applyAlignment="1">
      <alignment horizontal="left"/>
    </xf>
    <xf numFmtId="0" fontId="0" fillId="0" borderId="30" xfId="0" applyBorder="1"/>
    <xf numFmtId="0" fontId="0" fillId="0" borderId="18" xfId="0" applyBorder="1"/>
    <xf numFmtId="0" fontId="5" fillId="5" borderId="19" xfId="0" applyFont="1" applyFill="1" applyBorder="1" applyAlignment="1">
      <alignment vertical="center"/>
    </xf>
    <xf numFmtId="0" fontId="5" fillId="0" borderId="15" xfId="0" applyFont="1" applyBorder="1"/>
    <xf numFmtId="0" fontId="6" fillId="0" borderId="13" xfId="0" applyFont="1" applyBorder="1"/>
    <xf numFmtId="0" fontId="0" fillId="0" borderId="29" xfId="0" applyBorder="1"/>
    <xf numFmtId="0" fontId="5" fillId="0" borderId="24" xfId="0" applyFont="1" applyBorder="1"/>
    <xf numFmtId="0" fontId="5" fillId="0" borderId="35" xfId="0" applyFont="1" applyBorder="1"/>
    <xf numFmtId="0" fontId="5" fillId="0" borderId="17" xfId="0" applyFont="1" applyBorder="1"/>
    <xf numFmtId="0" fontId="5" fillId="0" borderId="14" xfId="0" applyFont="1" applyBorder="1"/>
    <xf numFmtId="0" fontId="5" fillId="0" borderId="13" xfId="0" applyFont="1" applyBorder="1"/>
    <xf numFmtId="0" fontId="6" fillId="5" borderId="27" xfId="0" applyFont="1" applyFill="1" applyBorder="1" applyAlignment="1">
      <alignment horizontal="center"/>
    </xf>
    <xf numFmtId="0" fontId="5" fillId="5" borderId="19" xfId="0" applyFont="1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0" borderId="17" xfId="0" applyBorder="1"/>
    <xf numFmtId="0" fontId="0" fillId="0" borderId="24" xfId="0" applyBorder="1"/>
    <xf numFmtId="0" fontId="0" fillId="0" borderId="35" xfId="0" applyBorder="1"/>
    <xf numFmtId="0" fontId="0" fillId="0" borderId="36" xfId="0" applyBorder="1" applyAlignment="1">
      <alignment wrapText="1"/>
    </xf>
    <xf numFmtId="0" fontId="6" fillId="0" borderId="32" xfId="0" applyFont="1" applyBorder="1"/>
    <xf numFmtId="0" fontId="0" fillId="6" borderId="30" xfId="0" applyFill="1" applyBorder="1"/>
    <xf numFmtId="0" fontId="0" fillId="6" borderId="18" xfId="0" applyFill="1" applyBorder="1"/>
    <xf numFmtId="0" fontId="8" fillId="0" borderId="38" xfId="0" applyFont="1" applyBorder="1"/>
    <xf numFmtId="0" fontId="8" fillId="0" borderId="37" xfId="0" applyFont="1" applyBorder="1"/>
    <xf numFmtId="0" fontId="10" fillId="0" borderId="19" xfId="0" applyFont="1" applyBorder="1"/>
    <xf numFmtId="0" fontId="0" fillId="0" borderId="0" xfId="0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3" fillId="4" borderId="19" xfId="0" applyFont="1" applyFill="1" applyBorder="1" applyAlignment="1" applyProtection="1">
      <alignment horizontal="center" vertical="center"/>
      <protection locked="0"/>
    </xf>
    <xf numFmtId="0" fontId="5" fillId="0" borderId="19" xfId="0" applyFont="1" applyBorder="1" applyAlignment="1">
      <alignment horizontal="center" vertical="center"/>
    </xf>
    <xf numFmtId="0" fontId="10" fillId="0" borderId="37" xfId="0" applyFont="1" applyBorder="1"/>
    <xf numFmtId="0" fontId="6" fillId="0" borderId="39" xfId="0" applyFont="1" applyBorder="1"/>
    <xf numFmtId="0" fontId="8" fillId="0" borderId="19" xfId="0" applyFont="1" applyBorder="1"/>
    <xf numFmtId="168" fontId="0" fillId="0" borderId="40" xfId="0" applyNumberFormat="1" applyBorder="1"/>
    <xf numFmtId="0" fontId="5" fillId="0" borderId="0" xfId="0" applyFont="1" applyAlignment="1">
      <alignment horizontal="center" vertical="center"/>
    </xf>
    <xf numFmtId="0" fontId="8" fillId="0" borderId="15" xfId="0" applyFont="1" applyBorder="1"/>
    <xf numFmtId="168" fontId="0" fillId="0" borderId="0" xfId="0" applyNumberFormat="1"/>
    <xf numFmtId="0" fontId="5" fillId="0" borderId="0" xfId="0" applyFont="1" applyAlignment="1">
      <alignment wrapText="1"/>
    </xf>
    <xf numFmtId="0" fontId="5" fillId="5" borderId="27" xfId="0" applyFont="1" applyFill="1" applyBorder="1"/>
    <xf numFmtId="0" fontId="6" fillId="0" borderId="41" xfId="0" applyFont="1" applyBorder="1"/>
    <xf numFmtId="0" fontId="5" fillId="0" borderId="42" xfId="0" applyFont="1" applyBorder="1"/>
    <xf numFmtId="0" fontId="6" fillId="0" borderId="31" xfId="0" applyFont="1" applyBorder="1"/>
    <xf numFmtId="0" fontId="5" fillId="0" borderId="40" xfId="0" applyFont="1" applyBorder="1" applyAlignment="1">
      <alignment wrapText="1"/>
    </xf>
    <xf numFmtId="0" fontId="0" fillId="8" borderId="19" xfId="0" applyFill="1" applyBorder="1"/>
    <xf numFmtId="0" fontId="14" fillId="4" borderId="30" xfId="0" applyFont="1" applyFill="1" applyBorder="1"/>
    <xf numFmtId="0" fontId="0" fillId="9" borderId="18" xfId="0" applyFill="1" applyBorder="1"/>
    <xf numFmtId="0" fontId="5" fillId="4" borderId="19" xfId="0" applyFont="1" applyFill="1" applyBorder="1" applyAlignment="1">
      <alignment wrapText="1"/>
    </xf>
    <xf numFmtId="0" fontId="0" fillId="4" borderId="19" xfId="0" applyFill="1" applyBorder="1" applyAlignment="1">
      <alignment wrapText="1"/>
    </xf>
    <xf numFmtId="0" fontId="5" fillId="4" borderId="19" xfId="0" applyFont="1" applyFill="1" applyBorder="1"/>
    <xf numFmtId="0" fontId="0" fillId="4" borderId="19" xfId="0" applyFill="1" applyBorder="1"/>
    <xf numFmtId="0" fontId="0" fillId="4" borderId="24" xfId="0" applyFill="1" applyBorder="1"/>
    <xf numFmtId="0" fontId="0" fillId="4" borderId="36" xfId="0" applyFill="1" applyBorder="1" applyAlignment="1">
      <alignment wrapText="1"/>
    </xf>
    <xf numFmtId="0" fontId="0" fillId="4" borderId="0" xfId="0" applyFill="1"/>
    <xf numFmtId="0" fontId="0" fillId="4" borderId="0" xfId="0" applyFill="1" applyAlignment="1">
      <alignment wrapText="1"/>
    </xf>
    <xf numFmtId="0" fontId="0" fillId="8" borderId="30" xfId="0" applyFill="1" applyBorder="1"/>
    <xf numFmtId="0" fontId="5" fillId="8" borderId="19" xfId="0" applyFont="1" applyFill="1" applyBorder="1" applyAlignment="1">
      <alignment wrapText="1"/>
    </xf>
    <xf numFmtId="0" fontId="0" fillId="8" borderId="19" xfId="0" applyFill="1" applyBorder="1" applyAlignment="1">
      <alignment wrapText="1"/>
    </xf>
    <xf numFmtId="0" fontId="5" fillId="8" borderId="19" xfId="0" applyFont="1" applyFill="1" applyBorder="1"/>
    <xf numFmtId="0" fontId="0" fillId="8" borderId="24" xfId="0" applyFill="1" applyBorder="1"/>
    <xf numFmtId="0" fontId="0" fillId="8" borderId="36" xfId="0" applyFill="1" applyBorder="1" applyAlignment="1">
      <alignment wrapText="1"/>
    </xf>
    <xf numFmtId="0" fontId="0" fillId="8" borderId="0" xfId="0" applyFill="1"/>
    <xf numFmtId="0" fontId="0" fillId="8" borderId="0" xfId="0" applyFill="1" applyAlignment="1">
      <alignment wrapText="1"/>
    </xf>
    <xf numFmtId="0" fontId="5" fillId="8" borderId="0" xfId="0" applyFont="1" applyFill="1" applyAlignment="1">
      <alignment wrapText="1"/>
    </xf>
    <xf numFmtId="0" fontId="10" fillId="0" borderId="43" xfId="0" applyFont="1" applyBorder="1"/>
    <xf numFmtId="0" fontId="5" fillId="0" borderId="39" xfId="0" applyFont="1" applyBorder="1" applyAlignment="1">
      <alignment wrapText="1"/>
    </xf>
    <xf numFmtId="0" fontId="6" fillId="0" borderId="34" xfId="0" applyFont="1" applyBorder="1"/>
    <xf numFmtId="0" fontId="5" fillId="0" borderId="27" xfId="0" applyFont="1" applyBorder="1"/>
    <xf numFmtId="0" fontId="5" fillId="0" borderId="44" xfId="0" applyFont="1" applyBorder="1"/>
    <xf numFmtId="0" fontId="6" fillId="0" borderId="9" xfId="0" applyFont="1" applyBorder="1"/>
    <xf numFmtId="0" fontId="0" fillId="0" borderId="10" xfId="0" applyBorder="1"/>
    <xf numFmtId="0" fontId="0" fillId="0" borderId="11" xfId="0" applyBorder="1"/>
    <xf numFmtId="0" fontId="14" fillId="8" borderId="0" xfId="0" applyFont="1" applyFill="1" applyProtection="1">
      <protection locked="0" hidden="1"/>
    </xf>
    <xf numFmtId="0" fontId="11" fillId="2" borderId="32" xfId="0" applyFont="1" applyFill="1" applyBorder="1" applyAlignment="1" applyProtection="1">
      <alignment horizontal="center" vertical="center" wrapText="1"/>
      <protection locked="0" hidden="1"/>
    </xf>
    <xf numFmtId="0" fontId="14" fillId="3" borderId="0" xfId="0" applyFont="1" applyFill="1" applyProtection="1">
      <protection locked="0" hidden="1"/>
    </xf>
    <xf numFmtId="0" fontId="12" fillId="7" borderId="3" xfId="0" applyFont="1" applyFill="1" applyBorder="1" applyAlignment="1" applyProtection="1">
      <alignment vertical="center" wrapText="1"/>
      <protection locked="0" hidden="1"/>
    </xf>
    <xf numFmtId="0" fontId="15" fillId="2" borderId="33" xfId="0" applyFont="1" applyFill="1" applyBorder="1" applyAlignment="1" applyProtection="1">
      <alignment horizontal="center" vertical="center" wrapText="1"/>
      <protection locked="0" hidden="1"/>
    </xf>
    <xf numFmtId="0" fontId="16" fillId="2" borderId="4" xfId="0" applyFont="1" applyFill="1" applyBorder="1" applyAlignment="1" applyProtection="1">
      <alignment vertical="center" wrapText="1"/>
      <protection locked="0" hidden="1"/>
    </xf>
    <xf numFmtId="0" fontId="17" fillId="2" borderId="1" xfId="0" applyFont="1" applyFill="1" applyBorder="1" applyAlignment="1" applyProtection="1">
      <alignment vertical="center"/>
      <protection locked="0" hidden="1"/>
    </xf>
    <xf numFmtId="0" fontId="18" fillId="2" borderId="1" xfId="0" applyFont="1" applyFill="1" applyBorder="1" applyAlignment="1" applyProtection="1">
      <alignment vertical="center" wrapText="1"/>
      <protection locked="0" hidden="1"/>
    </xf>
    <xf numFmtId="0" fontId="14" fillId="3" borderId="0" xfId="0" applyFont="1" applyFill="1" applyAlignment="1" applyProtection="1">
      <alignment wrapText="1"/>
      <protection locked="0" hidden="1"/>
    </xf>
    <xf numFmtId="0" fontId="19" fillId="2" borderId="3" xfId="0" applyFont="1" applyFill="1" applyBorder="1" applyAlignment="1" applyProtection="1">
      <alignment horizontal="center" vertical="center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49" fontId="20" fillId="2" borderId="3" xfId="0" applyNumberFormat="1" applyFont="1" applyFill="1" applyBorder="1" applyAlignment="1" applyProtection="1">
      <alignment horizontal="center" vertical="center"/>
      <protection locked="0" hidden="1"/>
    </xf>
    <xf numFmtId="0" fontId="20" fillId="2" borderId="26" xfId="0" applyFont="1" applyFill="1" applyBorder="1" applyAlignment="1" applyProtection="1">
      <alignment horizontal="center" vertical="center"/>
      <protection locked="0" hidden="1"/>
    </xf>
    <xf numFmtId="0" fontId="20" fillId="2" borderId="25" xfId="0" applyFont="1" applyFill="1" applyBorder="1" applyAlignment="1" applyProtection="1">
      <alignment horizontal="center" vertical="center"/>
      <protection locked="0" hidden="1"/>
    </xf>
    <xf numFmtId="0" fontId="20" fillId="2" borderId="3" xfId="0" applyFont="1" applyFill="1" applyBorder="1" applyAlignment="1" applyProtection="1">
      <alignment horizontal="center" vertical="center"/>
      <protection locked="0" hidden="1"/>
    </xf>
    <xf numFmtId="0" fontId="20" fillId="2" borderId="0" xfId="0" applyFont="1" applyFill="1" applyAlignment="1" applyProtection="1">
      <alignment horizontal="center" vertical="center"/>
      <protection locked="0" hidden="1"/>
    </xf>
    <xf numFmtId="0" fontId="14" fillId="2" borderId="0" xfId="0" applyFont="1" applyFill="1" applyProtection="1">
      <protection locked="0" hidden="1"/>
    </xf>
    <xf numFmtId="0" fontId="20" fillId="2" borderId="3" xfId="0" applyFont="1" applyFill="1" applyBorder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 vertical="center"/>
      <protection hidden="1"/>
    </xf>
    <xf numFmtId="0" fontId="20" fillId="2" borderId="5" xfId="0" applyFont="1" applyFill="1" applyBorder="1" applyAlignment="1" applyProtection="1">
      <alignment horizontal="center" vertical="center"/>
      <protection locked="0" hidden="1"/>
    </xf>
    <xf numFmtId="0" fontId="14" fillId="2" borderId="8" xfId="0" applyFont="1" applyFill="1" applyBorder="1" applyProtection="1">
      <protection locked="0" hidden="1"/>
    </xf>
    <xf numFmtId="0" fontId="20" fillId="2" borderId="8" xfId="0" applyFont="1" applyFill="1" applyBorder="1" applyAlignment="1" applyProtection="1">
      <alignment horizontal="center" vertical="center"/>
      <protection locked="0" hidden="1"/>
    </xf>
    <xf numFmtId="0" fontId="15" fillId="3" borderId="0" xfId="0" applyFont="1" applyFill="1" applyProtection="1">
      <protection locked="0" hidden="1"/>
    </xf>
    <xf numFmtId="0" fontId="16" fillId="0" borderId="3" xfId="0" applyFont="1" applyBorder="1" applyProtection="1">
      <protection locked="0" hidden="1"/>
    </xf>
    <xf numFmtId="0" fontId="16" fillId="0" borderId="0" xfId="0" applyFont="1" applyProtection="1">
      <protection locked="0" hidden="1"/>
    </xf>
    <xf numFmtId="0" fontId="15" fillId="0" borderId="0" xfId="0" applyFont="1" applyProtection="1">
      <protection locked="0" hidden="1"/>
    </xf>
    <xf numFmtId="0" fontId="16" fillId="0" borderId="0" xfId="0" applyFont="1" applyAlignment="1" applyProtection="1">
      <alignment horizontal="center"/>
      <protection locked="0" hidden="1"/>
    </xf>
    <xf numFmtId="0" fontId="16" fillId="0" borderId="0" xfId="0" applyFont="1" applyAlignment="1" applyProtection="1">
      <alignment horizontal="center" wrapText="1"/>
      <protection hidden="1"/>
    </xf>
    <xf numFmtId="0" fontId="16" fillId="0" borderId="4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15" fillId="0" borderId="4" xfId="0" applyFont="1" applyBorder="1" applyProtection="1">
      <protection locked="0" hidden="1"/>
    </xf>
    <xf numFmtId="164" fontId="15" fillId="0" borderId="0" xfId="0" applyNumberFormat="1" applyFont="1" applyAlignment="1" applyProtection="1">
      <alignment horizontal="center"/>
      <protection locked="0" hidden="1"/>
    </xf>
    <xf numFmtId="165" fontId="15" fillId="0" borderId="0" xfId="0" applyNumberFormat="1" applyFont="1" applyProtection="1">
      <protection locked="0" hidden="1"/>
    </xf>
    <xf numFmtId="165" fontId="16" fillId="0" borderId="4" xfId="0" applyNumberFormat="1" applyFont="1" applyBorder="1" applyProtection="1">
      <protection locked="0" hidden="1"/>
    </xf>
    <xf numFmtId="0" fontId="15" fillId="0" borderId="0" xfId="0" applyFont="1" applyAlignment="1" applyProtection="1">
      <alignment horizontal="center"/>
      <protection hidden="1"/>
    </xf>
    <xf numFmtId="2" fontId="15" fillId="0" borderId="0" xfId="0" applyNumberFormat="1" applyFont="1" applyAlignment="1" applyProtection="1">
      <alignment horizontal="center"/>
      <protection hidden="1"/>
    </xf>
    <xf numFmtId="0" fontId="22" fillId="3" borderId="0" xfId="0" applyFont="1" applyFill="1" applyProtection="1">
      <protection locked="0" hidden="1"/>
    </xf>
    <xf numFmtId="165" fontId="16" fillId="0" borderId="0" xfId="0" applyNumberFormat="1" applyFont="1" applyAlignment="1" applyProtection="1">
      <alignment horizontal="right"/>
      <protection locked="0" hidden="1"/>
    </xf>
    <xf numFmtId="165" fontId="16" fillId="0" borderId="7" xfId="0" applyNumberFormat="1" applyFont="1" applyBorder="1" applyProtection="1">
      <protection locked="0" hidden="1"/>
    </xf>
    <xf numFmtId="165" fontId="15" fillId="0" borderId="4" xfId="0" applyNumberFormat="1" applyFont="1" applyBorder="1" applyProtection="1">
      <protection locked="0" hidden="1"/>
    </xf>
    <xf numFmtId="0" fontId="15" fillId="0" borderId="3" xfId="0" applyFont="1" applyBorder="1" applyProtection="1">
      <protection hidden="1"/>
    </xf>
    <xf numFmtId="0" fontId="15" fillId="0" borderId="0" xfId="0" applyFont="1" applyProtection="1">
      <protection hidden="1"/>
    </xf>
    <xf numFmtId="0" fontId="15" fillId="0" borderId="0" xfId="0" applyFont="1" applyAlignment="1" applyProtection="1">
      <alignment wrapText="1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15" fillId="0" borderId="3" xfId="0" applyFont="1" applyBorder="1" applyAlignment="1" applyProtection="1">
      <alignment horizontal="left"/>
      <protection locked="0" hidden="1"/>
    </xf>
    <xf numFmtId="2" fontId="15" fillId="0" borderId="0" xfId="0" applyNumberFormat="1" applyFont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/>
      <protection hidden="1"/>
    </xf>
    <xf numFmtId="166" fontId="15" fillId="0" borderId="0" xfId="0" applyNumberFormat="1" applyFont="1" applyProtection="1">
      <protection locked="0" hidden="1"/>
    </xf>
    <xf numFmtId="165" fontId="14" fillId="3" borderId="0" xfId="0" applyNumberFormat="1" applyFont="1" applyFill="1" applyProtection="1">
      <protection locked="0" hidden="1"/>
    </xf>
    <xf numFmtId="0" fontId="16" fillId="0" borderId="0" xfId="0" applyFont="1" applyAlignment="1" applyProtection="1">
      <alignment horizontal="right"/>
      <protection locked="0" hidden="1"/>
    </xf>
    <xf numFmtId="0" fontId="15" fillId="0" borderId="3" xfId="0" applyFont="1" applyBorder="1" applyProtection="1">
      <protection locked="0" hidden="1"/>
    </xf>
    <xf numFmtId="0" fontId="24" fillId="0" borderId="9" xfId="0" applyFont="1" applyBorder="1" applyAlignment="1" applyProtection="1">
      <alignment horizontal="center" vertical="center"/>
      <protection locked="0" hidden="1"/>
    </xf>
    <xf numFmtId="165" fontId="26" fillId="0" borderId="11" xfId="0" applyNumberFormat="1" applyFont="1" applyBorder="1" applyAlignment="1" applyProtection="1">
      <alignment horizontal="right" vertical="center"/>
      <protection locked="0" hidden="1"/>
    </xf>
    <xf numFmtId="0" fontId="14" fillId="3" borderId="0" xfId="0" applyFont="1" applyFill="1" applyProtection="1">
      <protection hidden="1"/>
    </xf>
    <xf numFmtId="0" fontId="14" fillId="3" borderId="0" xfId="0" applyFont="1" applyFill="1" applyAlignment="1" applyProtection="1">
      <alignment wrapText="1"/>
      <protection hidden="1"/>
    </xf>
    <xf numFmtId="0" fontId="15" fillId="0" borderId="3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21" fillId="0" borderId="3" xfId="0" applyFont="1" applyBorder="1" applyAlignment="1" applyProtection="1">
      <alignment horizontal="left"/>
      <protection hidden="1"/>
    </xf>
    <xf numFmtId="0" fontId="21" fillId="0" borderId="0" xfId="0" applyFont="1" applyAlignment="1" applyProtection="1">
      <alignment horizontal="left"/>
      <protection hidden="1"/>
    </xf>
    <xf numFmtId="0" fontId="15" fillId="0" borderId="3" xfId="0" applyFont="1" applyBorder="1" applyAlignment="1" applyProtection="1">
      <alignment horizontal="left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23" fillId="0" borderId="5" xfId="0" applyFont="1" applyBorder="1" applyAlignment="1" applyProtection="1">
      <alignment horizontal="left"/>
      <protection hidden="1"/>
    </xf>
    <xf numFmtId="0" fontId="23" fillId="0" borderId="8" xfId="0" applyFont="1" applyBorder="1" applyAlignment="1" applyProtection="1">
      <alignment horizontal="left"/>
      <protection hidden="1"/>
    </xf>
    <xf numFmtId="0" fontId="23" fillId="0" borderId="6" xfId="0" applyFont="1" applyBorder="1" applyAlignment="1" applyProtection="1">
      <alignment horizontal="left"/>
      <protection hidden="1"/>
    </xf>
    <xf numFmtId="0" fontId="21" fillId="0" borderId="3" xfId="0" applyFont="1" applyBorder="1" applyAlignment="1" applyProtection="1">
      <alignment horizontal="left"/>
      <protection locked="0" hidden="1"/>
    </xf>
    <xf numFmtId="0" fontId="21" fillId="0" borderId="0" xfId="0" applyFont="1" applyAlignment="1" applyProtection="1">
      <alignment horizontal="left"/>
      <protection locked="0" hidden="1"/>
    </xf>
    <xf numFmtId="0" fontId="21" fillId="0" borderId="3" xfId="0" applyFont="1" applyBorder="1" applyAlignment="1" applyProtection="1">
      <alignment horizontal="left" wrapText="1"/>
      <protection hidden="1"/>
    </xf>
    <xf numFmtId="0" fontId="21" fillId="0" borderId="0" xfId="0" applyFont="1" applyAlignment="1" applyProtection="1">
      <alignment horizontal="left" wrapText="1"/>
      <protection hidden="1"/>
    </xf>
    <xf numFmtId="0" fontId="13" fillId="0" borderId="17" xfId="0" applyFont="1" applyBorder="1" applyAlignment="1" applyProtection="1">
      <alignment horizontal="center"/>
      <protection hidden="1"/>
    </xf>
    <xf numFmtId="0" fontId="13" fillId="0" borderId="13" xfId="0" applyFont="1" applyBorder="1" applyAlignment="1" applyProtection="1">
      <alignment horizontal="center"/>
      <protection hidden="1"/>
    </xf>
    <xf numFmtId="0" fontId="13" fillId="0" borderId="14" xfId="0" applyFont="1" applyBorder="1" applyAlignment="1" applyProtection="1">
      <alignment horizontal="center"/>
      <protection hidden="1"/>
    </xf>
    <xf numFmtId="0" fontId="14" fillId="0" borderId="18" xfId="0" applyFont="1" applyBorder="1" applyAlignment="1" applyProtection="1">
      <alignment horizontal="left" wrapText="1"/>
      <protection hidden="1"/>
    </xf>
    <xf numFmtId="0" fontId="14" fillId="0" borderId="15" xfId="0" applyFont="1" applyBorder="1" applyAlignment="1" applyProtection="1">
      <alignment horizontal="left" wrapText="1"/>
      <protection hidden="1"/>
    </xf>
    <xf numFmtId="0" fontId="14" fillId="0" borderId="16" xfId="0" applyFont="1" applyBorder="1" applyAlignment="1" applyProtection="1">
      <alignment horizontal="left" wrapText="1"/>
      <protection hidden="1"/>
    </xf>
    <xf numFmtId="0" fontId="25" fillId="0" borderId="10" xfId="0" applyFont="1" applyBorder="1" applyAlignment="1" applyProtection="1">
      <alignment horizontal="center" vertical="center" wrapText="1"/>
      <protection locked="0" hidden="1"/>
    </xf>
    <xf numFmtId="0" fontId="14" fillId="0" borderId="10" xfId="0" applyFont="1" applyBorder="1" applyAlignment="1" applyProtection="1">
      <alignment horizontal="center" vertical="center"/>
      <protection locked="0" hidden="1"/>
    </xf>
    <xf numFmtId="0" fontId="15" fillId="0" borderId="3" xfId="0" applyFont="1" applyBorder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  <xf numFmtId="0" fontId="16" fillId="0" borderId="3" xfId="0" applyFont="1" applyBorder="1" applyAlignment="1" applyProtection="1">
      <alignment horizontal="justify" vertical="center" wrapText="1"/>
      <protection hidden="1"/>
    </xf>
    <xf numFmtId="0" fontId="16" fillId="0" borderId="0" xfId="0" applyFont="1" applyAlignment="1" applyProtection="1">
      <alignment horizontal="justify" vertical="center" wrapText="1"/>
      <protection hidden="1"/>
    </xf>
    <xf numFmtId="0" fontId="16" fillId="0" borderId="4" xfId="0" applyFont="1" applyBorder="1" applyAlignment="1" applyProtection="1">
      <alignment horizontal="justify" vertical="center" wrapText="1"/>
      <protection hidden="1"/>
    </xf>
    <xf numFmtId="0" fontId="16" fillId="0" borderId="5" xfId="0" applyFont="1" applyBorder="1" applyAlignment="1" applyProtection="1">
      <alignment horizontal="justify" vertical="center" wrapText="1"/>
      <protection hidden="1"/>
    </xf>
    <xf numFmtId="0" fontId="16" fillId="0" borderId="8" xfId="0" applyFont="1" applyBorder="1" applyAlignment="1" applyProtection="1">
      <alignment horizontal="justify" vertical="center" wrapText="1"/>
      <protection hidden="1"/>
    </xf>
    <xf numFmtId="0" fontId="16" fillId="0" borderId="6" xfId="0" applyFont="1" applyBorder="1" applyAlignment="1" applyProtection="1">
      <alignment horizontal="justify" vertical="center" wrapText="1"/>
      <protection hidden="1"/>
    </xf>
    <xf numFmtId="0" fontId="17" fillId="2" borderId="12" xfId="0" applyFont="1" applyFill="1" applyBorder="1" applyAlignment="1" applyProtection="1">
      <alignment horizontal="left" vertical="center"/>
      <protection locked="0" hidden="1"/>
    </xf>
    <xf numFmtId="0" fontId="17" fillId="2" borderId="1" xfId="0" applyFont="1" applyFill="1" applyBorder="1" applyAlignment="1" applyProtection="1">
      <alignment horizontal="left" vertical="center"/>
      <protection locked="0" hidden="1"/>
    </xf>
    <xf numFmtId="0" fontId="17" fillId="2" borderId="3" xfId="0" applyFont="1" applyFill="1" applyBorder="1" applyAlignment="1" applyProtection="1">
      <alignment horizontal="left" vertical="center"/>
      <protection locked="0" hidden="1"/>
    </xf>
    <xf numFmtId="0" fontId="17" fillId="2" borderId="0" xfId="0" applyFont="1" applyFill="1" applyAlignment="1" applyProtection="1">
      <alignment horizontal="left" vertical="center"/>
      <protection locked="0" hidden="1"/>
    </xf>
    <xf numFmtId="0" fontId="11" fillId="2" borderId="1" xfId="0" applyFont="1" applyFill="1" applyBorder="1" applyAlignment="1" applyProtection="1">
      <alignment horizontal="center" vertical="center" wrapText="1"/>
      <protection hidden="1"/>
    </xf>
    <xf numFmtId="0" fontId="11" fillId="2" borderId="2" xfId="0" applyFont="1" applyFill="1" applyBorder="1" applyAlignment="1" applyProtection="1">
      <alignment horizontal="center" vertical="center" wrapText="1"/>
      <protection hidden="1"/>
    </xf>
    <xf numFmtId="0" fontId="11" fillId="2" borderId="0" xfId="0" applyFont="1" applyFill="1" applyAlignment="1" applyProtection="1">
      <alignment horizontal="center" vertical="center" wrapText="1"/>
      <protection hidden="1"/>
    </xf>
    <xf numFmtId="0" fontId="11" fillId="2" borderId="4" xfId="0" applyFont="1" applyFill="1" applyBorder="1" applyAlignment="1" applyProtection="1">
      <alignment horizontal="center" vertical="center" wrapText="1"/>
      <protection hidden="1"/>
    </xf>
    <xf numFmtId="0" fontId="16" fillId="2" borderId="2" xfId="0" applyFont="1" applyFill="1" applyBorder="1" applyAlignment="1" applyProtection="1">
      <alignment horizontal="center" vertical="top"/>
      <protection locked="0" hidden="1"/>
    </xf>
    <xf numFmtId="0" fontId="16" fillId="2" borderId="4" xfId="0" applyFont="1" applyFill="1" applyBorder="1" applyAlignment="1" applyProtection="1">
      <alignment horizontal="center" vertical="top"/>
      <protection locked="0" hidden="1"/>
    </xf>
    <xf numFmtId="0" fontId="16" fillId="2" borderId="6" xfId="0" applyFont="1" applyFill="1" applyBorder="1" applyAlignment="1" applyProtection="1">
      <alignment horizontal="center" vertical="top"/>
      <protection locked="0" hidden="1"/>
    </xf>
    <xf numFmtId="0" fontId="19" fillId="2" borderId="0" xfId="0" applyFont="1" applyFill="1" applyAlignment="1" applyProtection="1">
      <alignment horizontal="center" vertical="center"/>
      <protection locked="0" hidden="1"/>
    </xf>
    <xf numFmtId="0" fontId="27" fillId="0" borderId="1" xfId="0" applyFont="1" applyBorder="1" applyAlignment="1" applyProtection="1">
      <alignment horizontal="center" vertical="center" wrapText="1"/>
      <protection locked="0" hidden="1"/>
    </xf>
    <xf numFmtId="0" fontId="27" fillId="0" borderId="0" xfId="0" applyFont="1" applyAlignment="1" applyProtection="1">
      <alignment horizontal="center" vertical="center" wrapText="1"/>
      <protection locked="0" hidden="1"/>
    </xf>
    <xf numFmtId="0" fontId="27" fillId="0" borderId="8" xfId="0" applyFont="1" applyBorder="1" applyAlignment="1" applyProtection="1">
      <alignment horizontal="center" vertical="center" wrapText="1"/>
      <protection locked="0" hidden="1"/>
    </xf>
  </cellXfs>
  <cellStyles count="4">
    <cellStyle name="Normale" xfId="0" builtinId="0"/>
    <cellStyle name="Normale 2" xfId="1" xr:uid="{00000000-0005-0000-0000-000001000000}"/>
    <cellStyle name="Normale 3" xfId="2" xr:uid="{00000000-0005-0000-0000-000002000000}"/>
    <cellStyle name="Normale 4" xfId="3" xr:uid="{713FF181-0F22-4A1F-B4AD-8628D9424FEE}"/>
  </cellStyles>
  <dxfs count="51">
    <dxf>
      <numFmt numFmtId="2" formatCode="0.00"/>
    </dxf>
    <dxf>
      <numFmt numFmtId="2" formatCode="0.00"/>
    </dxf>
    <dxf>
      <numFmt numFmtId="2" formatCode="0.00"/>
      <alignment horizontal="right" vertical="bottom" textRotation="0" wrapText="0" inden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family val="2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bgColor theme="0"/>
        </patternFill>
      </fill>
    </dxf>
    <dxf>
      <font>
        <color theme="0"/>
      </font>
    </dxf>
    <dxf>
      <border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vertical/>
        <horizontal/>
      </border>
    </dxf>
    <dxf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</dxfs>
  <tableStyles count="0" defaultTableStyle="TableStyleMedium9" defaultPivotStyle="PivotStyleLight16"/>
  <colors>
    <mruColors>
      <color rgb="FFAFCDAF"/>
      <color rgb="FFFFFF99"/>
      <color rgb="FF414141"/>
      <color rgb="FF00FF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jpe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jpeg"/><Relationship Id="rId1" Type="http://schemas.openxmlformats.org/officeDocument/2006/relationships/hyperlink" Target="#Titolo_descrizione!D3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222250</xdr:rowOff>
    </xdr:from>
    <xdr:to>
      <xdr:col>0</xdr:col>
      <xdr:colOff>1674812</xdr:colOff>
      <xdr:row>2</xdr:row>
      <xdr:rowOff>13670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61F9C1B3-2A30-40C1-84E2-77C4EE68D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222250"/>
          <a:ext cx="1531937" cy="2994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76200</xdr:colOff>
      <xdr:row>2</xdr:row>
      <xdr:rowOff>82550</xdr:rowOff>
    </xdr:from>
    <xdr:to>
      <xdr:col>3</xdr:col>
      <xdr:colOff>1378968</xdr:colOff>
      <xdr:row>2</xdr:row>
      <xdr:rowOff>1465206</xdr:rowOff>
    </xdr:to>
    <xdr:pic>
      <xdr:nvPicPr>
        <xdr:cNvPr id="2" name="Immagin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344476C-B401-48B0-91C3-EAD3217F2E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39150" y="3365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4</xdr:row>
      <xdr:rowOff>107950</xdr:rowOff>
    </xdr:from>
    <xdr:to>
      <xdr:col>3</xdr:col>
      <xdr:colOff>1462550</xdr:colOff>
      <xdr:row>4</xdr:row>
      <xdr:rowOff>1490350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D425DFF4-20EF-4272-B259-7784C972A5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33147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50800</xdr:colOff>
      <xdr:row>3</xdr:row>
      <xdr:rowOff>69850</xdr:rowOff>
    </xdr:from>
    <xdr:to>
      <xdr:col>3</xdr:col>
      <xdr:colOff>1483077</xdr:colOff>
      <xdr:row>3</xdr:row>
      <xdr:rowOff>1346200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E31EEE98-9AE8-4172-960B-4380F50151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13750" y="187960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127000</xdr:colOff>
      <xdr:row>5</xdr:row>
      <xdr:rowOff>88900</xdr:rowOff>
    </xdr:from>
    <xdr:to>
      <xdr:col>3</xdr:col>
      <xdr:colOff>1459995</xdr:colOff>
      <xdr:row>5</xdr:row>
      <xdr:rowOff>1471300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CD44B400-06CE-482A-A6FF-836D24DDD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89950" y="4870450"/>
          <a:ext cx="1332995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171450</xdr:colOff>
      <xdr:row>7</xdr:row>
      <xdr:rowOff>215900</xdr:rowOff>
    </xdr:from>
    <xdr:to>
      <xdr:col>3</xdr:col>
      <xdr:colOff>1473267</xdr:colOff>
      <xdr:row>7</xdr:row>
      <xdr:rowOff>1460564</xdr:rowOff>
    </xdr:to>
    <xdr:pic>
      <xdr:nvPicPr>
        <xdr:cNvPr id="12" name="Immagine 11">
          <a:extLst>
            <a:ext uri="{FF2B5EF4-FFF2-40B4-BE49-F238E27FC236}">
              <a16:creationId xmlns:a16="http://schemas.microsoft.com/office/drawing/2014/main" id="{45A32872-1FF1-4094-BB1C-177A2224C0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34400" y="84455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146050</xdr:colOff>
      <xdr:row>6</xdr:row>
      <xdr:rowOff>171450</xdr:rowOff>
    </xdr:from>
    <xdr:to>
      <xdr:col>3</xdr:col>
      <xdr:colOff>1447867</xdr:colOff>
      <xdr:row>6</xdr:row>
      <xdr:rowOff>1416114</xdr:rowOff>
    </xdr:to>
    <xdr:pic>
      <xdr:nvPicPr>
        <xdr:cNvPr id="13" name="Immagine 12">
          <a:extLst>
            <a:ext uri="{FF2B5EF4-FFF2-40B4-BE49-F238E27FC236}">
              <a16:creationId xmlns:a16="http://schemas.microsoft.com/office/drawing/2014/main" id="{359B7476-3DE7-4854-BF33-9D9A9259D0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09000" y="68453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8</xdr:row>
      <xdr:rowOff>120650</xdr:rowOff>
    </xdr:from>
    <xdr:to>
      <xdr:col>3</xdr:col>
      <xdr:colOff>1455168</xdr:colOff>
      <xdr:row>8</xdr:row>
      <xdr:rowOff>1503306</xdr:rowOff>
    </xdr:to>
    <xdr:pic>
      <xdr:nvPicPr>
        <xdr:cNvPr id="14" name="Immagine 13">
          <a:extLst>
            <a:ext uri="{FF2B5EF4-FFF2-40B4-BE49-F238E27FC236}">
              <a16:creationId xmlns:a16="http://schemas.microsoft.com/office/drawing/2014/main" id="{8BBB5629-D547-4CB7-AD96-1334249AF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990600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107950</xdr:colOff>
      <xdr:row>9</xdr:row>
      <xdr:rowOff>196850</xdr:rowOff>
    </xdr:from>
    <xdr:to>
      <xdr:col>3</xdr:col>
      <xdr:colOff>1540227</xdr:colOff>
      <xdr:row>9</xdr:row>
      <xdr:rowOff>1473200</xdr:rowOff>
    </xdr:to>
    <xdr:pic>
      <xdr:nvPicPr>
        <xdr:cNvPr id="15" name="Immagine 14">
          <a:extLst>
            <a:ext uri="{FF2B5EF4-FFF2-40B4-BE49-F238E27FC236}">
              <a16:creationId xmlns:a16="http://schemas.microsoft.com/office/drawing/2014/main" id="{C737DAD5-D80F-4E31-BED4-3071BAD360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70900" y="1153795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215900</xdr:colOff>
      <xdr:row>10</xdr:row>
      <xdr:rowOff>95250</xdr:rowOff>
    </xdr:from>
    <xdr:to>
      <xdr:col>3</xdr:col>
      <xdr:colOff>1526050</xdr:colOff>
      <xdr:row>10</xdr:row>
      <xdr:rowOff>1477650</xdr:rowOff>
    </xdr:to>
    <xdr:pic>
      <xdr:nvPicPr>
        <xdr:cNvPr id="16" name="Immagine 15">
          <a:extLst>
            <a:ext uri="{FF2B5EF4-FFF2-40B4-BE49-F238E27FC236}">
              <a16:creationId xmlns:a16="http://schemas.microsoft.com/office/drawing/2014/main" id="{D237D2C6-E256-43A6-96F1-9A7AE2FD8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8850" y="129921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11</xdr:row>
      <xdr:rowOff>82550</xdr:rowOff>
    </xdr:from>
    <xdr:to>
      <xdr:col>3</xdr:col>
      <xdr:colOff>1493268</xdr:colOff>
      <xdr:row>11</xdr:row>
      <xdr:rowOff>1465206</xdr:rowOff>
    </xdr:to>
    <xdr:pic>
      <xdr:nvPicPr>
        <xdr:cNvPr id="17" name="Immagine 16">
          <a:extLst>
            <a:ext uri="{FF2B5EF4-FFF2-40B4-BE49-F238E27FC236}">
              <a16:creationId xmlns:a16="http://schemas.microsoft.com/office/drawing/2014/main" id="{B76F0125-6BC0-4D15-BBA6-CEDF7E0D3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45351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13</xdr:row>
      <xdr:rowOff>196850</xdr:rowOff>
    </xdr:from>
    <xdr:to>
      <xdr:col>3</xdr:col>
      <xdr:colOff>1505017</xdr:colOff>
      <xdr:row>13</xdr:row>
      <xdr:rowOff>1441514</xdr:rowOff>
    </xdr:to>
    <xdr:pic>
      <xdr:nvPicPr>
        <xdr:cNvPr id="18" name="Immagine 17">
          <a:extLst>
            <a:ext uri="{FF2B5EF4-FFF2-40B4-BE49-F238E27FC236}">
              <a16:creationId xmlns:a16="http://schemas.microsoft.com/office/drawing/2014/main" id="{97E2D381-19F9-4AE6-9F1B-7256DC60A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66150" y="162052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14</xdr:row>
      <xdr:rowOff>57150</xdr:rowOff>
    </xdr:from>
    <xdr:to>
      <xdr:col>3</xdr:col>
      <xdr:colOff>1493268</xdr:colOff>
      <xdr:row>14</xdr:row>
      <xdr:rowOff>1439806</xdr:rowOff>
    </xdr:to>
    <xdr:pic>
      <xdr:nvPicPr>
        <xdr:cNvPr id="19" name="Immagine 18">
          <a:extLst>
            <a:ext uri="{FF2B5EF4-FFF2-40B4-BE49-F238E27FC236}">
              <a16:creationId xmlns:a16="http://schemas.microsoft.com/office/drawing/2014/main" id="{6E7D3C38-C632-4760-AF05-D934046A8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76212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184150</xdr:colOff>
      <xdr:row>15</xdr:row>
      <xdr:rowOff>171450</xdr:rowOff>
    </xdr:from>
    <xdr:to>
      <xdr:col>3</xdr:col>
      <xdr:colOff>1524069</xdr:colOff>
      <xdr:row>15</xdr:row>
      <xdr:rowOff>1454216</xdr:rowOff>
    </xdr:to>
    <xdr:pic>
      <xdr:nvPicPr>
        <xdr:cNvPr id="20" name="Immagine 19">
          <a:extLst>
            <a:ext uri="{FF2B5EF4-FFF2-40B4-BE49-F238E27FC236}">
              <a16:creationId xmlns:a16="http://schemas.microsoft.com/office/drawing/2014/main" id="{89F42613-D274-4FF7-864B-CC2306A24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8547100" y="19291300"/>
          <a:ext cx="1339919" cy="1282766"/>
        </a:xfrm>
        <a:prstGeom prst="rect">
          <a:avLst/>
        </a:prstGeom>
      </xdr:spPr>
    </xdr:pic>
    <xdr:clientData/>
  </xdr:twoCellAnchor>
  <xdr:twoCellAnchor editAs="oneCell">
    <xdr:from>
      <xdr:col>3</xdr:col>
      <xdr:colOff>228600</xdr:colOff>
      <xdr:row>16</xdr:row>
      <xdr:rowOff>215900</xdr:rowOff>
    </xdr:from>
    <xdr:to>
      <xdr:col>3</xdr:col>
      <xdr:colOff>1581220</xdr:colOff>
      <xdr:row>16</xdr:row>
      <xdr:rowOff>1460564</xdr:rowOff>
    </xdr:to>
    <xdr:pic>
      <xdr:nvPicPr>
        <xdr:cNvPr id="21" name="Immagine 20">
          <a:extLst>
            <a:ext uri="{FF2B5EF4-FFF2-40B4-BE49-F238E27FC236}">
              <a16:creationId xmlns:a16="http://schemas.microsoft.com/office/drawing/2014/main" id="{CD9E4295-235A-4A0F-BDE0-C957919D9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8591550" y="20891500"/>
          <a:ext cx="1352620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234950</xdr:colOff>
      <xdr:row>17</xdr:row>
      <xdr:rowOff>241300</xdr:rowOff>
    </xdr:from>
    <xdr:to>
      <xdr:col>3</xdr:col>
      <xdr:colOff>1536767</xdr:colOff>
      <xdr:row>17</xdr:row>
      <xdr:rowOff>1485964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51B83610-57D2-47A1-AD58-2A28265E0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97900" y="2247265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18</xdr:row>
      <xdr:rowOff>184150</xdr:rowOff>
    </xdr:from>
    <xdr:to>
      <xdr:col>3</xdr:col>
      <xdr:colOff>1543119</xdr:colOff>
      <xdr:row>18</xdr:row>
      <xdr:rowOff>1428814</xdr:rowOff>
    </xdr:to>
    <xdr:pic>
      <xdr:nvPicPr>
        <xdr:cNvPr id="23" name="Immagine 22">
          <a:extLst>
            <a:ext uri="{FF2B5EF4-FFF2-40B4-BE49-F238E27FC236}">
              <a16:creationId xmlns:a16="http://schemas.microsoft.com/office/drawing/2014/main" id="{EB3A2E27-EB16-4413-91CD-B269177D81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8566150" y="23971250"/>
          <a:ext cx="1339919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19</xdr:row>
      <xdr:rowOff>165100</xdr:rowOff>
    </xdr:from>
    <xdr:to>
      <xdr:col>3</xdr:col>
      <xdr:colOff>1543120</xdr:colOff>
      <xdr:row>19</xdr:row>
      <xdr:rowOff>1479618</xdr:rowOff>
    </xdr:to>
    <xdr:pic>
      <xdr:nvPicPr>
        <xdr:cNvPr id="24" name="Immagine 23">
          <a:extLst>
            <a:ext uri="{FF2B5EF4-FFF2-40B4-BE49-F238E27FC236}">
              <a16:creationId xmlns:a16="http://schemas.microsoft.com/office/drawing/2014/main" id="{5E414A52-03BB-4B77-BA2F-D453E2136C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8553450" y="25507950"/>
          <a:ext cx="1352620" cy="1314518"/>
        </a:xfrm>
        <a:prstGeom prst="rect">
          <a:avLst/>
        </a:prstGeom>
      </xdr:spPr>
    </xdr:pic>
    <xdr:clientData/>
  </xdr:twoCellAnchor>
  <xdr:twoCellAnchor editAs="oneCell">
    <xdr:from>
      <xdr:col>3</xdr:col>
      <xdr:colOff>165100</xdr:colOff>
      <xdr:row>20</xdr:row>
      <xdr:rowOff>95250</xdr:rowOff>
    </xdr:from>
    <xdr:to>
      <xdr:col>3</xdr:col>
      <xdr:colOff>1498669</xdr:colOff>
      <xdr:row>20</xdr:row>
      <xdr:rowOff>1358965</xdr:rowOff>
    </xdr:to>
    <xdr:pic>
      <xdr:nvPicPr>
        <xdr:cNvPr id="25" name="Immagine 24">
          <a:extLst>
            <a:ext uri="{FF2B5EF4-FFF2-40B4-BE49-F238E27FC236}">
              <a16:creationId xmlns:a16="http://schemas.microsoft.com/office/drawing/2014/main" id="{B0C57C9D-DB8E-4AB6-8ABD-087EDB201D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528050" y="26993850"/>
          <a:ext cx="1333569" cy="1263715"/>
        </a:xfrm>
        <a:prstGeom prst="rect">
          <a:avLst/>
        </a:prstGeom>
      </xdr:spPr>
    </xdr:pic>
    <xdr:clientData/>
  </xdr:twoCellAnchor>
  <xdr:twoCellAnchor editAs="oneCell">
    <xdr:from>
      <xdr:col>3</xdr:col>
      <xdr:colOff>133350</xdr:colOff>
      <xdr:row>21</xdr:row>
      <xdr:rowOff>158750</xdr:rowOff>
    </xdr:from>
    <xdr:to>
      <xdr:col>3</xdr:col>
      <xdr:colOff>1492320</xdr:colOff>
      <xdr:row>21</xdr:row>
      <xdr:rowOff>1403414</xdr:rowOff>
    </xdr:to>
    <xdr:pic>
      <xdr:nvPicPr>
        <xdr:cNvPr id="26" name="Immagine 25">
          <a:extLst>
            <a:ext uri="{FF2B5EF4-FFF2-40B4-BE49-F238E27FC236}">
              <a16:creationId xmlns:a16="http://schemas.microsoft.com/office/drawing/2014/main" id="{29045F6D-9864-4236-9056-0F12BF365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8496300" y="28613100"/>
          <a:ext cx="1358970" cy="124466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99FFB58-8181-4F51-8A1D-A8DE8C442C74}" name="Numero_Tavola7" displayName="Numero_Tavola7" ref="B2:L27" totalsRowShown="0" headerRowDxfId="32" dataDxfId="30" headerRowBorderDxfId="31" tableBorderDxfId="29" totalsRowBorderDxfId="28">
  <autoFilter ref="B2:L27" xr:uid="{799FFB58-8181-4F51-8A1D-A8DE8C442C74}"/>
  <tableColumns count="11">
    <tableColumn id="1" xr3:uid="{E7212185-D43F-4C53-8600-E18724E06340}" name="Numero_Tavola" dataDxfId="27"/>
    <tableColumn id="2" xr3:uid="{375FF194-9ECB-47E5-925A-C3E0BA5AC6D2}" name="Variabile_1" dataDxfId="26"/>
    <tableColumn id="3" xr3:uid="{44518498-ECAD-4F0A-B457-CC980B990576}" name="Variabile_2" dataDxfId="25"/>
    <tableColumn id="4" xr3:uid="{26A94D43-1D17-44B2-BBE7-5E450FAD5FFD}" name="Variabile_3" dataDxfId="24"/>
    <tableColumn id="5" xr3:uid="{6E6134CB-5F1D-4A7C-B6F3-916A6CF610CE}" name="Variabile_4" dataDxfId="23"/>
    <tableColumn id="6" xr3:uid="{08023828-A0E3-48A6-A8DB-7FC418914280}" name="Variabile_5" dataDxfId="22"/>
    <tableColumn id="7" xr3:uid="{8F28E70D-0B83-4ACB-B027-921726511E03}" name="Variabile_6" dataDxfId="21"/>
    <tableColumn id="8" xr3:uid="{BF4428D0-5035-40FD-8CEB-4791DD718D66}" name="Variabile_7" dataDxfId="20"/>
    <tableColumn id="9" xr3:uid="{03BF9970-49C1-426E-9891-EFC126F474D7}" name="Variabile_8" dataDxfId="19"/>
    <tableColumn id="10" xr3:uid="{9B3307C8-4560-49CB-895E-BD472EDE1757}" name="Variabile_9" dataDxfId="18"/>
    <tableColumn id="11" xr3:uid="{4D0ABAB2-715D-449E-BB53-D50321E57C79}" name="Variabile_10" dataDxfId="17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215FADC-CC4F-465B-BEBD-9FA50B8DA43B}" name="Numero_Tavola10" displayName="Numero_Tavola10" ref="B2:H25" totalsRowShown="0" headerRowDxfId="16" dataDxfId="14" headerRowBorderDxfId="15" tableBorderDxfId="13" totalsRowBorderDxfId="12">
  <autoFilter ref="B2:H25" xr:uid="{F215FADC-CC4F-465B-BEBD-9FA50B8DA43B}"/>
  <tableColumns count="7">
    <tableColumn id="1" xr3:uid="{A8629550-D1F5-4D57-A526-AE82F12206AE}" name="Sistema" dataDxfId="11">
      <calculatedColumnFormula>Titolo_descrizione!B3</calculatedColumnFormula>
    </tableColumn>
    <tableColumn id="9" xr3:uid="{4583A61B-036D-49EE-AB67-36EB4822BA55}" name="Colonna1" dataDxfId="10"/>
    <tableColumn id="2" xr3:uid="{75336D79-C92C-4919-B296-9568D5E04190}" name="1) " dataDxfId="9"/>
    <tableColumn id="3" xr3:uid="{6516A016-8A63-44FE-BD9E-DEC265DB47E5}" name="2) " dataDxfId="8"/>
    <tableColumn id="4" xr3:uid="{2D26B45C-DE5D-43C1-843D-456728FD05F0}" name="3) " dataDxfId="7"/>
    <tableColumn id="5" xr3:uid="{48AC8964-6CD5-4CBC-94D0-44BFC8B7B497}" name="4) " dataDxfId="6"/>
    <tableColumn id="6" xr3:uid="{B612D73C-F3A2-4DAB-BCBF-0E85A98A1EBA}" name="5) " dataDxfId="5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77F836B-F63A-4E30-AF8F-7B894CDBD8EA}" name="calcolo_prodotti" displayName="calcolo_prodotti" ref="B2:D188" totalsRowCount="1" headerRowDxfId="4">
  <autoFilter ref="B2:D187" xr:uid="{B77F836B-F63A-4E30-AF8F-7B894CDBD8EA}"/>
  <tableColumns count="3">
    <tableColumn id="1" xr3:uid="{D27FE330-CE29-4C32-9D56-A63722C27872}" name="Prodotto e caratteristiche"/>
    <tableColumn id="3" xr3:uid="{7BAE10A4-A627-4D98-91E2-D13D68935FCD}" name="Prodotto"/>
    <tableColumn id="2" xr3:uid="{FE69AD4B-B4AB-44FA-9A1C-27F3E897F885}" name="Calcolo" dataDxfId="3" totalsRowDxfId="2"/>
  </tableColumns>
  <tableStyleInfo name="TableStyleLight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9269449-BB5C-4C56-9345-123945B73B32}" name="ausiliaria_noli" displayName="ausiliaria_noli" ref="F2:F16" totalsRowCount="1">
  <autoFilter ref="F2:F15" xr:uid="{49269449-BB5C-4C56-9345-123945B73B32}"/>
  <tableColumns count="1">
    <tableColumn id="1" xr3:uid="{10C95FD1-D97A-453C-87A5-0FFEDA730B5D}" name="Ausiliaria per calcolo noli e trasporti" totalsRowFunction="custom" dataDxfId="1" totalsRowDxfId="0">
      <calculatedColumnFormula>IFERROR(IF(Analisi_Voci!D54="kg/mq",Analisi_Voci!E54,IF(Analisi_Voci!D54="l/mq",Analisi_Voci!E54,VLOOKUP(Analisi_Voci!A54,CAR_MAT,4,FALSE))),0)</calculatedColumnFormula>
      <totalsRowFormula>SUM(ausiliaria_noli[Ausiliaria per calcolo noli e trasporti])</totalsRow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>
    <tabColor theme="6" tint="0.79998168889431442"/>
    <pageSetUpPr fitToPage="1"/>
  </sheetPr>
  <dimension ref="A1:R79"/>
  <sheetViews>
    <sheetView tabSelected="1" zoomScale="70" zoomScaleNormal="70" workbookViewId="0">
      <selection activeCell="A12" sqref="A12:G17"/>
    </sheetView>
  </sheetViews>
  <sheetFormatPr defaultColWidth="9.1796875" defaultRowHeight="12.5" x14ac:dyDescent="0.25"/>
  <cols>
    <col min="1" max="1" width="26" style="141" customWidth="1"/>
    <col min="2" max="2" width="29.1796875" style="141" customWidth="1"/>
    <col min="3" max="3" width="32.90625" style="141" customWidth="1"/>
    <col min="4" max="4" width="26.90625" style="141" customWidth="1"/>
    <col min="5" max="5" width="22" style="141" customWidth="1"/>
    <col min="6" max="6" width="22.90625" style="141" customWidth="1"/>
    <col min="7" max="7" width="25.81640625" style="141" customWidth="1"/>
    <col min="8" max="8" width="7.1796875" style="141" customWidth="1"/>
    <col min="9" max="9" width="13.81640625" style="141" hidden="1" customWidth="1"/>
    <col min="10" max="13" width="9.1796875" style="141" hidden="1" customWidth="1"/>
    <col min="14" max="14" width="9.81640625" style="141" hidden="1" customWidth="1"/>
    <col min="15" max="18" width="9.1796875" style="141" hidden="1" customWidth="1"/>
    <col min="19" max="16384" width="9.1796875" style="141"/>
  </cols>
  <sheetData>
    <row r="1" spans="1:12" ht="20.149999999999999" customHeight="1" x14ac:dyDescent="0.25">
      <c r="A1" s="139"/>
      <c r="B1" s="235" t="s">
        <v>528</v>
      </c>
      <c r="C1" s="227" t="str">
        <f>VLOOKUP(B1,Titolo_descrizione!B2:C51,2,FALSE)</f>
        <v>Applicazione di sistema a cappotto assemblato con pannello Klima Airwool</v>
      </c>
      <c r="D1" s="227"/>
      <c r="E1" s="227"/>
      <c r="F1" s="228"/>
      <c r="G1" s="140" t="s">
        <v>72</v>
      </c>
    </row>
    <row r="2" spans="1:12" ht="20.149999999999999" customHeight="1" thickBot="1" x14ac:dyDescent="0.3">
      <c r="A2" s="142"/>
      <c r="B2" s="236"/>
      <c r="C2" s="229"/>
      <c r="D2" s="229"/>
      <c r="E2" s="229"/>
      <c r="F2" s="230"/>
      <c r="G2" s="143" t="s">
        <v>85</v>
      </c>
    </row>
    <row r="3" spans="1:12" ht="20.149999999999999" customHeight="1" thickBot="1" x14ac:dyDescent="0.3">
      <c r="A3" s="142"/>
      <c r="B3" s="237"/>
      <c r="C3" s="229"/>
      <c r="D3" s="229"/>
      <c r="E3" s="229"/>
      <c r="F3" s="230"/>
      <c r="G3" s="144"/>
    </row>
    <row r="4" spans="1:12" ht="15" customHeight="1" x14ac:dyDescent="0.25">
      <c r="A4" s="223"/>
      <c r="B4" s="224"/>
      <c r="C4" s="224"/>
      <c r="D4" s="224"/>
      <c r="E4" s="145"/>
      <c r="F4" s="146"/>
      <c r="G4" s="231"/>
      <c r="I4" s="147"/>
      <c r="J4" s="147"/>
      <c r="L4" s="147"/>
    </row>
    <row r="5" spans="1:12" ht="15" customHeight="1" x14ac:dyDescent="0.25">
      <c r="A5" s="225"/>
      <c r="B5" s="226"/>
      <c r="C5" s="226"/>
      <c r="D5" s="226"/>
      <c r="E5" s="234"/>
      <c r="F5" s="234"/>
      <c r="G5" s="232"/>
      <c r="J5" s="147"/>
    </row>
    <row r="6" spans="1:12" ht="15" customHeight="1" x14ac:dyDescent="0.25">
      <c r="A6" s="148" t="str">
        <f>IFERROR(VLOOKUP(Analisi_Voci!B1,Numero_Tavola7[#All],2,FALSE)," ")</f>
        <v>Spessore pannello</v>
      </c>
      <c r="B6" s="149" t="str">
        <f>IFERROR(VLOOKUP(Analisi_Voci!B1,Numero_Tavola7[#All],3,FALSE)," ")</f>
        <v>Adesivo</v>
      </c>
      <c r="C6" s="149" t="str">
        <f>IFERROR(VLOOKUP(Analisi_Voci!$B$1,Numero_Tavola7[#All],4,FALSE)," ")</f>
        <v xml:space="preserve">Rete di rinforzo </v>
      </c>
      <c r="D6" s="149" t="s">
        <v>568</v>
      </c>
      <c r="E6" s="149" t="str">
        <f>IFERROR(VLOOKUP(Analisi_Voci!$B$1,Numero_Tavola7[#All],5,FALSE)," ")</f>
        <v xml:space="preserve">Fondo di finitura </v>
      </c>
      <c r="F6" s="149" t="str">
        <f>IFERROR(VLOOKUP(Analisi_Voci!$B$1,Numero_Tavola7[#All],6,FALSE)," ")</f>
        <v>Intonachino a spessore</v>
      </c>
      <c r="G6" s="232"/>
    </row>
    <row r="7" spans="1:12" ht="14.5" x14ac:dyDescent="0.25">
      <c r="A7" s="150" t="s">
        <v>114</v>
      </c>
      <c r="B7" s="151" t="s">
        <v>144</v>
      </c>
      <c r="C7" s="151" t="s">
        <v>7</v>
      </c>
      <c r="D7" s="151" t="s">
        <v>143</v>
      </c>
      <c r="E7" s="152" t="s">
        <v>163</v>
      </c>
      <c r="F7" s="152" t="s">
        <v>165</v>
      </c>
      <c r="G7" s="232"/>
    </row>
    <row r="8" spans="1:12" ht="15" customHeight="1" x14ac:dyDescent="0.25">
      <c r="A8" s="153"/>
      <c r="B8" s="154"/>
      <c r="C8" s="154"/>
      <c r="D8" s="154"/>
      <c r="E8" s="154"/>
      <c r="F8" s="155"/>
      <c r="G8" s="232"/>
    </row>
    <row r="9" spans="1:12" ht="15" customHeight="1" x14ac:dyDescent="0.25">
      <c r="A9" s="148" t="str">
        <f>VLOOKUP(Analisi_Voci!$B$1,Numero_Tavola7[#All],7,FALSE)</f>
        <v xml:space="preserve">Granulometria intonachino </v>
      </c>
      <c r="B9" s="149" t="str">
        <f>VLOOKUP(Analisi_Voci!$B$1,Numero_Tavola7[#All],8,FALSE)</f>
        <v>Colore intonachino</v>
      </c>
      <c r="C9" s="149" t="str">
        <f>VLOOKUP(Analisi_Voci!$B$1,Numero_Tavola7[#All],9,FALSE)</f>
        <v>Tipologia tasselli</v>
      </c>
      <c r="D9" s="149" t="str">
        <f>VLOOKUP(Analisi_Voci!$B$1,Numero_Tavola7[#All],10,FALSE)</f>
        <v>Numero tasselli</v>
      </c>
      <c r="E9" s="149" t="str">
        <f>VLOOKUP(Analisi_Voci!$B$1,Var_voce!B2:L25,11,FALSE)</f>
        <v xml:space="preserve">Lunghezza tasselli </v>
      </c>
      <c r="F9" s="149"/>
      <c r="G9" s="232"/>
    </row>
    <row r="10" spans="1:12" ht="15" customHeight="1" x14ac:dyDescent="0.25">
      <c r="A10" s="156" t="s">
        <v>167</v>
      </c>
      <c r="B10" s="157" t="s">
        <v>183</v>
      </c>
      <c r="C10" s="157" t="s">
        <v>194</v>
      </c>
      <c r="D10" s="157"/>
      <c r="E10" s="157"/>
      <c r="F10" s="149"/>
      <c r="G10" s="232"/>
    </row>
    <row r="11" spans="1:12" ht="15" customHeight="1" thickBot="1" x14ac:dyDescent="0.3">
      <c r="A11" s="158"/>
      <c r="B11" s="159"/>
      <c r="C11" s="160"/>
      <c r="D11" s="160"/>
      <c r="E11" s="160"/>
      <c r="F11" s="160"/>
      <c r="G11" s="233"/>
    </row>
    <row r="12" spans="1:12" ht="14" x14ac:dyDescent="0.3">
      <c r="A12" s="217" t="str">
        <f ca="1">IFERROR(VLOOKUP($B$1,PREZ,27,FALSE),"")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B12" s="218"/>
      <c r="C12" s="218"/>
      <c r="D12" s="218"/>
      <c r="E12" s="218"/>
      <c r="F12" s="218"/>
      <c r="G12" s="219"/>
      <c r="J12" s="161"/>
    </row>
    <row r="13" spans="1:12" ht="14" x14ac:dyDescent="0.3">
      <c r="A13" s="217"/>
      <c r="B13" s="218"/>
      <c r="C13" s="218"/>
      <c r="D13" s="218"/>
      <c r="E13" s="218"/>
      <c r="F13" s="218"/>
      <c r="G13" s="219"/>
      <c r="J13" s="161"/>
    </row>
    <row r="14" spans="1:12" ht="14" x14ac:dyDescent="0.3">
      <c r="A14" s="217"/>
      <c r="B14" s="218"/>
      <c r="C14" s="218"/>
      <c r="D14" s="218"/>
      <c r="E14" s="218"/>
      <c r="F14" s="218"/>
      <c r="G14" s="219"/>
      <c r="J14" s="161"/>
    </row>
    <row r="15" spans="1:12" ht="14" x14ac:dyDescent="0.3">
      <c r="A15" s="217"/>
      <c r="B15" s="218"/>
      <c r="C15" s="218"/>
      <c r="D15" s="218"/>
      <c r="E15" s="218"/>
      <c r="F15" s="218"/>
      <c r="G15" s="219"/>
      <c r="J15" s="161"/>
    </row>
    <row r="16" spans="1:12" ht="14" x14ac:dyDescent="0.3">
      <c r="A16" s="217"/>
      <c r="B16" s="218"/>
      <c r="C16" s="218"/>
      <c r="D16" s="218"/>
      <c r="E16" s="218"/>
      <c r="F16" s="218"/>
      <c r="G16" s="219"/>
      <c r="J16" s="161"/>
    </row>
    <row r="17" spans="1:18" ht="160.5" customHeight="1" thickBot="1" x14ac:dyDescent="0.3">
      <c r="A17" s="220"/>
      <c r="B17" s="221"/>
      <c r="C17" s="221"/>
      <c r="D17" s="221"/>
      <c r="E17" s="221"/>
      <c r="F17" s="221"/>
      <c r="G17" s="222"/>
    </row>
    <row r="18" spans="1:18" ht="15" customHeight="1" x14ac:dyDescent="0.3">
      <c r="A18" s="162" t="s">
        <v>0</v>
      </c>
      <c r="B18" s="163"/>
      <c r="C18" s="164"/>
      <c r="D18" s="165" t="s">
        <v>1</v>
      </c>
      <c r="E18" s="165" t="s">
        <v>3</v>
      </c>
      <c r="F18" s="166" t="s">
        <v>8</v>
      </c>
      <c r="G18" s="167" t="s">
        <v>2</v>
      </c>
    </row>
    <row r="19" spans="1:18" ht="15" customHeight="1" x14ac:dyDescent="0.3">
      <c r="A19" s="203" t="s">
        <v>11</v>
      </c>
      <c r="B19" s="204"/>
      <c r="C19" s="204"/>
      <c r="D19" s="168"/>
      <c r="E19" s="168"/>
      <c r="F19" s="164"/>
      <c r="G19" s="169"/>
    </row>
    <row r="20" spans="1:18" ht="15" customHeight="1" x14ac:dyDescent="0.3">
      <c r="A20" s="205" t="str">
        <f ca="1">IF(VLOOKUP($B$1,LAV,3,FALSE)=0,"",VLOOKUP($B$1,LAV,3,FALSE))</f>
        <v>Incollaggio dei pannelli termoisolanti</v>
      </c>
      <c r="B20" s="206"/>
      <c r="C20" s="206"/>
      <c r="D20" s="168"/>
      <c r="E20" s="170"/>
      <c r="F20" s="171"/>
      <c r="G20" s="172"/>
      <c r="I20" s="141" t="s">
        <v>5</v>
      </c>
      <c r="L20" s="196" t="e" cm="1">
        <f t="array" ref="L20">INDEX(lavorazioni_secondostrato,(VLOOKUP($B$1,lavorazioni_secondostrato,2,FALSE)+1),3)</f>
        <v>#NAME?</v>
      </c>
      <c r="M20" s="197"/>
      <c r="N20" s="197"/>
      <c r="O20" s="168"/>
      <c r="P20" s="170"/>
      <c r="Q20" s="171"/>
      <c r="R20" s="172"/>
    </row>
    <row r="21" spans="1:18" ht="15" customHeight="1" x14ac:dyDescent="0.3">
      <c r="A21" s="215" t="str">
        <f ca="1">IF(A20=0,"",$I$20)</f>
        <v>OPERAIO QUALIFICATO (MO1003)</v>
      </c>
      <c r="B21" s="216"/>
      <c r="C21" s="216"/>
      <c r="D21" s="173" t="str">
        <f t="shared" ref="D21:D51" ca="1" si="0">IFERROR(VLOOKUP(A21,PRZ,2,FALSE),"")</f>
        <v>H/mq</v>
      </c>
      <c r="E21" s="184">
        <f t="shared" ref="E21:E52" ca="1" si="1">IF(A21=$I$20,VLOOKUP(A20,QTA,2,FALSE),"")</f>
        <v>0.2</v>
      </c>
      <c r="F21" s="171">
        <f t="shared" ref="F21:F51" ca="1" si="2">IFERROR(VLOOKUP(A21,PRZ,3,FALSE),"")</f>
        <v>29.25</v>
      </c>
      <c r="G21" s="172">
        <f ca="1">IFERROR(E21*F21,"")</f>
        <v>5.8500000000000005</v>
      </c>
      <c r="L21" s="198" t="e">
        <f>IF(L20=0,"",$I$20)</f>
        <v>#NAME?</v>
      </c>
      <c r="M21" s="199"/>
      <c r="N21" s="199"/>
      <c r="O21" s="168" t="str">
        <f t="shared" ref="O21:O52" si="3">IFERROR(VLOOKUP(L21,prezzi,2,FALSE),"")</f>
        <v/>
      </c>
      <c r="P21" s="174" t="e">
        <f>IF(L21=$I$20,VLOOKUP(L20,#REF!,2,FALSE),IF(L21=$I$21,VLOOKUP(L19,#REF!,2,FALSE),""))</f>
        <v>#NAME?</v>
      </c>
      <c r="Q21" s="171" t="str">
        <f t="shared" ref="Q21:Q51" si="4">IFERROR(VLOOKUP(L21,prezzi,3,FALSE),"")</f>
        <v/>
      </c>
      <c r="R21" s="172" t="str">
        <f>IFERROR(P21*Q21,"")</f>
        <v/>
      </c>
    </row>
    <row r="22" spans="1:18" ht="15" customHeight="1" x14ac:dyDescent="0.3">
      <c r="A22" s="196" t="str">
        <f ca="1">IF(VLOOKUP($B$1,LAV,4,FALSE)=0,"",VLOOKUP($B$1,LAV,4,FALSE))</f>
        <v>Tassellatura dei pannelli termoisolanti</v>
      </c>
      <c r="B22" s="197"/>
      <c r="C22" s="197"/>
      <c r="D22" s="173" t="str">
        <f t="shared" ca="1" si="0"/>
        <v/>
      </c>
      <c r="E22" s="184" t="str">
        <f t="shared" ca="1" si="1"/>
        <v/>
      </c>
      <c r="F22" s="171" t="str">
        <f t="shared" ca="1" si="2"/>
        <v/>
      </c>
      <c r="G22" s="172" t="str">
        <f t="shared" ref="G22:G51" ca="1" si="5">IFERROR(E22*F22,"")</f>
        <v/>
      </c>
      <c r="I22" s="175"/>
      <c r="L22" s="196" t="e" cm="1">
        <f t="array" ref="L22">INDEX(lavorazioni_secondostrato,(VLOOKUP($B$1,lavorazioni_secondostrato,2,FALSE)+1),4)</f>
        <v>#NAME?</v>
      </c>
      <c r="M22" s="197"/>
      <c r="N22" s="197"/>
      <c r="O22" s="168" t="str">
        <f t="shared" si="3"/>
        <v/>
      </c>
      <c r="P22" s="174" t="e">
        <f>IF(L22=$I$20,VLOOKUP(#REF!,#REF!,2,FALSE),IF(L22=$I$21,VLOOKUP(L21,#REF!,2,FALSE),""))</f>
        <v>#NAME?</v>
      </c>
      <c r="Q22" s="171" t="str">
        <f t="shared" si="4"/>
        <v/>
      </c>
      <c r="R22" s="172" t="str">
        <f t="shared" ref="R22:R51" si="6">IFERROR(P22*Q22,"")</f>
        <v/>
      </c>
    </row>
    <row r="23" spans="1:18" ht="15" customHeight="1" x14ac:dyDescent="0.3">
      <c r="A23" s="198" t="str">
        <f ca="1">IF(A22="","",$I$20)</f>
        <v>OPERAIO QUALIFICATO (MO1003)</v>
      </c>
      <c r="B23" s="199"/>
      <c r="C23" s="199"/>
      <c r="D23" s="173" t="str">
        <f t="shared" ca="1" si="0"/>
        <v>H/mq</v>
      </c>
      <c r="E23" s="184">
        <f t="shared" ca="1" si="1"/>
        <v>0</v>
      </c>
      <c r="F23" s="171">
        <f t="shared" ca="1" si="2"/>
        <v>29.25</v>
      </c>
      <c r="G23" s="172">
        <f t="shared" ca="1" si="5"/>
        <v>0</v>
      </c>
      <c r="L23" s="198" t="e">
        <f>IF(L22="","",$I$20)</f>
        <v>#NAME?</v>
      </c>
      <c r="M23" s="199"/>
      <c r="N23" s="199"/>
      <c r="O23" s="168" t="str">
        <f t="shared" si="3"/>
        <v/>
      </c>
      <c r="P23" s="174" t="e">
        <f>IF(L23=$I$20,VLOOKUP(L22,#REF!,2,FALSE),IF(L23=$I$21,VLOOKUP(#REF!,#REF!,2,FALSE),""))</f>
        <v>#NAME?</v>
      </c>
      <c r="Q23" s="171" t="str">
        <f t="shared" si="4"/>
        <v/>
      </c>
      <c r="R23" s="172" t="str">
        <f t="shared" si="6"/>
        <v/>
      </c>
    </row>
    <row r="24" spans="1:18" ht="15" customHeight="1" x14ac:dyDescent="0.3">
      <c r="A24" s="196" t="str">
        <f ca="1">IF(VLOOKUP($B$1,LAV,5,FALSE)=0,"",VLOOKUP($B$1,LAV,5,FALSE))</f>
        <v>Realizzazione di rasatura armata</v>
      </c>
      <c r="B24" s="197"/>
      <c r="C24" s="197"/>
      <c r="D24" s="173" t="str">
        <f t="shared" ca="1" si="0"/>
        <v/>
      </c>
      <c r="E24" s="184" t="str">
        <f t="shared" ca="1" si="1"/>
        <v/>
      </c>
      <c r="F24" s="171" t="str">
        <f t="shared" ca="1" si="2"/>
        <v/>
      </c>
      <c r="G24" s="172" t="str">
        <f t="shared" ca="1" si="5"/>
        <v/>
      </c>
      <c r="L24" s="196" t="e" cm="1">
        <f t="array" ref="L24">INDEX(lavorazioni_secondostrato,(VLOOKUP($B$1,lavorazioni_secondostrato,2,FALSE)+1),5)</f>
        <v>#NAME?</v>
      </c>
      <c r="M24" s="197"/>
      <c r="N24" s="197"/>
      <c r="O24" s="168" t="str">
        <f t="shared" si="3"/>
        <v/>
      </c>
      <c r="P24" s="174" t="e">
        <f>IF(L24=$I$20,VLOOKUP(#REF!,#REF!,2,FALSE),IF(L24=$I$21,VLOOKUP(L23,#REF!,2,FALSE),""))</f>
        <v>#NAME?</v>
      </c>
      <c r="Q24" s="171" t="str">
        <f t="shared" si="4"/>
        <v/>
      </c>
      <c r="R24" s="172" t="str">
        <f t="shared" si="6"/>
        <v/>
      </c>
    </row>
    <row r="25" spans="1:18" ht="15" customHeight="1" x14ac:dyDescent="0.3">
      <c r="A25" s="198" t="str">
        <f ca="1">IF(A24="","",$I$20)</f>
        <v>OPERAIO QUALIFICATO (MO1003)</v>
      </c>
      <c r="B25" s="199"/>
      <c r="C25" s="199"/>
      <c r="D25" s="173" t="str">
        <f t="shared" ca="1" si="0"/>
        <v>H/mq</v>
      </c>
      <c r="E25" s="184">
        <f t="shared" ca="1" si="1"/>
        <v>0.2</v>
      </c>
      <c r="F25" s="171">
        <f t="shared" ca="1" si="2"/>
        <v>29.25</v>
      </c>
      <c r="G25" s="172">
        <f t="shared" ca="1" si="5"/>
        <v>5.8500000000000005</v>
      </c>
      <c r="L25" s="198" t="e">
        <f>IF(L24="","",$I$20)</f>
        <v>#NAME?</v>
      </c>
      <c r="M25" s="199"/>
      <c r="N25" s="199"/>
      <c r="O25" s="168" t="str">
        <f t="shared" si="3"/>
        <v/>
      </c>
      <c r="P25" s="174" t="e">
        <f>IF(L25=$I$20,VLOOKUP(L24,#REF!,2,FALSE),IF(L25=$I$21,VLOOKUP(#REF!,#REF!,2,FALSE),""))</f>
        <v>#NAME?</v>
      </c>
      <c r="Q25" s="171" t="str">
        <f t="shared" si="4"/>
        <v/>
      </c>
      <c r="R25" s="172" t="str">
        <f t="shared" si="6"/>
        <v/>
      </c>
    </row>
    <row r="26" spans="1:18" ht="15" customHeight="1" x14ac:dyDescent="0.3">
      <c r="A26" s="196" t="str">
        <f ca="1">IF(VLOOKUP($B$1,LAV,6,FALSE)=0,"",VLOOKUP($B$1,LAV,6,FALSE))</f>
        <v>Applicazione del fondo</v>
      </c>
      <c r="B26" s="197"/>
      <c r="C26" s="197"/>
      <c r="D26" s="173" t="str">
        <f t="shared" ca="1" si="0"/>
        <v/>
      </c>
      <c r="E26" s="184" t="str">
        <f t="shared" ca="1" si="1"/>
        <v/>
      </c>
      <c r="F26" s="171" t="str">
        <f t="shared" ca="1" si="2"/>
        <v/>
      </c>
      <c r="G26" s="172" t="str">
        <f t="shared" ca="1" si="5"/>
        <v/>
      </c>
      <c r="L26" s="196" t="e" cm="1">
        <f t="array" ref="L26">INDEX(lavorazioni_secondostrato,(VLOOKUP($B$1,lavorazioni_secondostrato,2,FALSE)+1),6)</f>
        <v>#NAME?</v>
      </c>
      <c r="M26" s="197"/>
      <c r="N26" s="197"/>
      <c r="O26" s="168" t="str">
        <f t="shared" si="3"/>
        <v/>
      </c>
      <c r="P26" s="174" t="e">
        <f>IF(L26=$I$20,VLOOKUP(#REF!,#REF!,2,FALSE),IF(L26=$I$21,VLOOKUP(L25,#REF!,2,FALSE),""))</f>
        <v>#NAME?</v>
      </c>
      <c r="Q26" s="171" t="str">
        <f t="shared" si="4"/>
        <v/>
      </c>
      <c r="R26" s="172" t="str">
        <f t="shared" si="6"/>
        <v/>
      </c>
    </row>
    <row r="27" spans="1:18" ht="15" customHeight="1" x14ac:dyDescent="0.3">
      <c r="A27" s="198" t="str">
        <f ca="1">IF(A26="","",$I$20)</f>
        <v>OPERAIO QUALIFICATO (MO1003)</v>
      </c>
      <c r="B27" s="199"/>
      <c r="C27" s="199"/>
      <c r="D27" s="173" t="str">
        <f t="shared" ca="1" si="0"/>
        <v>H/mq</v>
      </c>
      <c r="E27" s="184">
        <f t="shared" ca="1" si="1"/>
        <v>0.15</v>
      </c>
      <c r="F27" s="171">
        <f t="shared" ca="1" si="2"/>
        <v>29.25</v>
      </c>
      <c r="G27" s="172">
        <f t="shared" ca="1" si="5"/>
        <v>4.3875000000000002</v>
      </c>
      <c r="L27" s="198" t="e">
        <f>IF(L26="","",$I$20)</f>
        <v>#NAME?</v>
      </c>
      <c r="M27" s="199"/>
      <c r="N27" s="199"/>
      <c r="O27" s="168" t="str">
        <f t="shared" si="3"/>
        <v/>
      </c>
      <c r="P27" s="174" t="e">
        <f>IF(L27=$I$20,VLOOKUP(L26,#REF!,2,FALSE),IF(L27=$I$21,VLOOKUP(#REF!,#REF!,2,FALSE),""))</f>
        <v>#NAME?</v>
      </c>
      <c r="Q27" s="171" t="str">
        <f t="shared" si="4"/>
        <v/>
      </c>
      <c r="R27" s="172" t="str">
        <f t="shared" si="6"/>
        <v/>
      </c>
    </row>
    <row r="28" spans="1:18" ht="15" customHeight="1" x14ac:dyDescent="0.3">
      <c r="A28" s="196" t="str">
        <f ca="1">IF(VLOOKUP($B$1,LAV,7,FALSE)=0,"",VLOOKUP($B$1,LAV,7,FALSE))</f>
        <v>Applicazione dell'intonachino di finitura</v>
      </c>
      <c r="B28" s="197"/>
      <c r="C28" s="197"/>
      <c r="D28" s="173" t="str">
        <f t="shared" ca="1" si="0"/>
        <v/>
      </c>
      <c r="E28" s="184" t="str">
        <f t="shared" ca="1" si="1"/>
        <v/>
      </c>
      <c r="F28" s="171" t="str">
        <f t="shared" ca="1" si="2"/>
        <v/>
      </c>
      <c r="G28" s="172" t="str">
        <f t="shared" ca="1" si="5"/>
        <v/>
      </c>
      <c r="L28" s="196" t="e" cm="1">
        <f t="array" ref="L28">INDEX(lavorazioni_secondostrato,(VLOOKUP($B$1,lavorazioni_secondostrato,2,FALSE)+1),7)</f>
        <v>#NAME?</v>
      </c>
      <c r="M28" s="197"/>
      <c r="N28" s="197"/>
      <c r="O28" s="168" t="str">
        <f t="shared" si="3"/>
        <v/>
      </c>
      <c r="P28" s="174" t="e">
        <f>IF(L28=$I$20,VLOOKUP(#REF!,#REF!,2,FALSE),IF(L28=$I$21,VLOOKUP(L27,#REF!,2,FALSE),""))</f>
        <v>#NAME?</v>
      </c>
      <c r="Q28" s="171" t="str">
        <f t="shared" si="4"/>
        <v/>
      </c>
      <c r="R28" s="172" t="str">
        <f t="shared" si="6"/>
        <v/>
      </c>
    </row>
    <row r="29" spans="1:18" ht="15" customHeight="1" x14ac:dyDescent="0.3">
      <c r="A29" s="198" t="str">
        <f ca="1">IF(A28="","",$I$20)</f>
        <v>OPERAIO QUALIFICATO (MO1003)</v>
      </c>
      <c r="B29" s="199"/>
      <c r="C29" s="199"/>
      <c r="D29" s="173" t="str">
        <f t="shared" ca="1" si="0"/>
        <v>H/mq</v>
      </c>
      <c r="E29" s="184">
        <f t="shared" ca="1" si="1"/>
        <v>0.15</v>
      </c>
      <c r="F29" s="171">
        <f t="shared" ca="1" si="2"/>
        <v>29.25</v>
      </c>
      <c r="G29" s="172">
        <f t="shared" ca="1" si="5"/>
        <v>4.3875000000000002</v>
      </c>
      <c r="L29" s="198" t="e">
        <f>IF(L28="","",$I$20)</f>
        <v>#NAME?</v>
      </c>
      <c r="M29" s="199"/>
      <c r="N29" s="199"/>
      <c r="O29" s="168" t="str">
        <f t="shared" si="3"/>
        <v/>
      </c>
      <c r="P29" s="174" t="e">
        <f>IF(L29=$I$20,VLOOKUP(L28,#REF!,2,FALSE),IF(L29=$I$21,VLOOKUP(#REF!,#REF!,2,FALSE),""))</f>
        <v>#NAME?</v>
      </c>
      <c r="Q29" s="171" t="str">
        <f t="shared" si="4"/>
        <v/>
      </c>
      <c r="R29" s="172" t="str">
        <f t="shared" si="6"/>
        <v/>
      </c>
    </row>
    <row r="30" spans="1:18" ht="15" hidden="1" customHeight="1" x14ac:dyDescent="0.3">
      <c r="A30" s="196" t="str">
        <f ca="1">IF(VLOOKUP($B$1,LAV,8,FALSE)=0,"",VLOOKUP($B$1,LAV,8,FALSE))</f>
        <v/>
      </c>
      <c r="B30" s="197"/>
      <c r="C30" s="197"/>
      <c r="D30" s="168" t="str">
        <f t="shared" ca="1" si="0"/>
        <v/>
      </c>
      <c r="E30" s="184" t="str">
        <f t="shared" ca="1" si="1"/>
        <v/>
      </c>
      <c r="F30" s="171" t="str">
        <f t="shared" ca="1" si="2"/>
        <v/>
      </c>
      <c r="G30" s="172" t="str">
        <f t="shared" ca="1" si="5"/>
        <v/>
      </c>
      <c r="L30" s="196" t="e" cm="1">
        <f t="array" ref="L30">INDEX(lavorazioni_secondostrato,(VLOOKUP($B$1,lavorazioni_secondostrato,2,FALSE)+1),8)</f>
        <v>#NAME?</v>
      </c>
      <c r="M30" s="197"/>
      <c r="N30" s="197"/>
      <c r="O30" s="168" t="str">
        <f t="shared" si="3"/>
        <v/>
      </c>
      <c r="P30" s="174" t="e">
        <f>IF(L30=$I$20,VLOOKUP(#REF!,#REF!,2,FALSE),IF(L30=$I$21,VLOOKUP(L29,#REF!,2,FALSE),""))</f>
        <v>#NAME?</v>
      </c>
      <c r="Q30" s="171" t="str">
        <f t="shared" si="4"/>
        <v/>
      </c>
      <c r="R30" s="172" t="str">
        <f t="shared" si="6"/>
        <v/>
      </c>
    </row>
    <row r="31" spans="1:18" ht="15" hidden="1" customHeight="1" x14ac:dyDescent="0.3">
      <c r="A31" s="198" t="str">
        <f ca="1">IF(A30="","",$I$20)</f>
        <v/>
      </c>
      <c r="B31" s="199"/>
      <c r="C31" s="199"/>
      <c r="D31" s="168" t="str">
        <f t="shared" ca="1" si="0"/>
        <v/>
      </c>
      <c r="E31" s="184" t="str">
        <f t="shared" ca="1" si="1"/>
        <v/>
      </c>
      <c r="F31" s="171" t="str">
        <f t="shared" ca="1" si="2"/>
        <v/>
      </c>
      <c r="G31" s="172" t="str">
        <f t="shared" ca="1" si="5"/>
        <v/>
      </c>
      <c r="L31" s="198" t="e">
        <f>IF(L30="","",$I$20)</f>
        <v>#NAME?</v>
      </c>
      <c r="M31" s="199"/>
      <c r="N31" s="199"/>
      <c r="O31" s="168" t="str">
        <f t="shared" si="3"/>
        <v/>
      </c>
      <c r="P31" s="174" t="e">
        <f>IF(L31=$I$20,VLOOKUP(L30,#REF!,2,FALSE),IF(L31=$I$21,VLOOKUP(#REF!,#REF!,2,FALSE),""))</f>
        <v>#NAME?</v>
      </c>
      <c r="Q31" s="171" t="str">
        <f t="shared" si="4"/>
        <v/>
      </c>
      <c r="R31" s="172" t="str">
        <f t="shared" si="6"/>
        <v/>
      </c>
    </row>
    <row r="32" spans="1:18" ht="15" hidden="1" customHeight="1" x14ac:dyDescent="0.3">
      <c r="A32" s="198" t="str">
        <f ca="1">IF(A31=$I$20,$I$21,"")</f>
        <v/>
      </c>
      <c r="B32" s="199"/>
      <c r="C32" s="199"/>
      <c r="D32" s="168" t="str">
        <f t="shared" ca="1" si="0"/>
        <v/>
      </c>
      <c r="E32" s="184" t="str">
        <f t="shared" ca="1" si="1"/>
        <v/>
      </c>
      <c r="F32" s="171" t="str">
        <f t="shared" ca="1" si="2"/>
        <v/>
      </c>
      <c r="G32" s="172" t="str">
        <f t="shared" ca="1" si="5"/>
        <v/>
      </c>
      <c r="L32" s="198" t="e">
        <f>IF(L31=$I$20,$I$21,"")</f>
        <v>#NAME?</v>
      </c>
      <c r="M32" s="199"/>
      <c r="N32" s="199"/>
      <c r="O32" s="168" t="str">
        <f t="shared" si="3"/>
        <v/>
      </c>
      <c r="P32" s="174" t="e">
        <f>IF(L32=$I$20,VLOOKUP(L31,#REF!,2,FALSE),IF(L32=$I$21,VLOOKUP(L30,#REF!,2,FALSE),""))</f>
        <v>#NAME?</v>
      </c>
      <c r="Q32" s="171" t="str">
        <f t="shared" si="4"/>
        <v/>
      </c>
      <c r="R32" s="172" t="str">
        <f t="shared" si="6"/>
        <v/>
      </c>
    </row>
    <row r="33" spans="1:18" ht="15" hidden="1" customHeight="1" x14ac:dyDescent="0.3">
      <c r="A33" s="196" t="str">
        <f ca="1">IF(VLOOKUP($B$1,LAV,9,FALSE)=0,"",VLOOKUP($B$1,LAV,9,FALSE))</f>
        <v/>
      </c>
      <c r="B33" s="197"/>
      <c r="C33" s="197"/>
      <c r="D33" s="168" t="str">
        <f t="shared" ca="1" si="0"/>
        <v/>
      </c>
      <c r="E33" s="184" t="str">
        <f t="shared" ca="1" si="1"/>
        <v/>
      </c>
      <c r="F33" s="171" t="str">
        <f t="shared" ca="1" si="2"/>
        <v/>
      </c>
      <c r="G33" s="172" t="str">
        <f t="shared" ca="1" si="5"/>
        <v/>
      </c>
      <c r="L33" s="196" t="e" cm="1">
        <f t="array" ref="L33">INDEX(lavorazioni_secondostrato,(VLOOKUP($B$1,lavorazioni_secondostrato,2,FALSE)+1),9)</f>
        <v>#NAME?</v>
      </c>
      <c r="M33" s="197"/>
      <c r="N33" s="197"/>
      <c r="O33" s="168" t="str">
        <f t="shared" si="3"/>
        <v/>
      </c>
      <c r="P33" s="174" t="e">
        <f>IF(L33=$I$20,VLOOKUP(L32,#REF!,2,FALSE),IF(L33=$I$21,VLOOKUP(L31,#REF!,2,FALSE),""))</f>
        <v>#NAME?</v>
      </c>
      <c r="Q33" s="171" t="str">
        <f t="shared" si="4"/>
        <v/>
      </c>
      <c r="R33" s="172" t="str">
        <f t="shared" si="6"/>
        <v/>
      </c>
    </row>
    <row r="34" spans="1:18" ht="15" hidden="1" customHeight="1" x14ac:dyDescent="0.3">
      <c r="A34" s="198" t="str">
        <f ca="1">IF(A33="","",$I$20)</f>
        <v/>
      </c>
      <c r="B34" s="199"/>
      <c r="C34" s="199"/>
      <c r="D34" s="168" t="str">
        <f t="shared" ca="1" si="0"/>
        <v/>
      </c>
      <c r="E34" s="184" t="str">
        <f t="shared" ca="1" si="1"/>
        <v/>
      </c>
      <c r="F34" s="171" t="str">
        <f t="shared" ca="1" si="2"/>
        <v/>
      </c>
      <c r="G34" s="172" t="str">
        <f t="shared" ca="1" si="5"/>
        <v/>
      </c>
      <c r="L34" s="198" t="e">
        <f>IF(L33="","",$I$20)</f>
        <v>#NAME?</v>
      </c>
      <c r="M34" s="199"/>
      <c r="N34" s="199"/>
      <c r="O34" s="168" t="str">
        <f t="shared" si="3"/>
        <v/>
      </c>
      <c r="P34" s="174" t="e">
        <f>IF(L34=$I$20,VLOOKUP(L33,#REF!,2,FALSE),IF(L34=$I$21,VLOOKUP(L32,#REF!,2,FALSE),""))</f>
        <v>#NAME?</v>
      </c>
      <c r="Q34" s="171" t="str">
        <f t="shared" si="4"/>
        <v/>
      </c>
      <c r="R34" s="172" t="str">
        <f t="shared" si="6"/>
        <v/>
      </c>
    </row>
    <row r="35" spans="1:18" ht="15" hidden="1" customHeight="1" x14ac:dyDescent="0.3">
      <c r="A35" s="198" t="str">
        <f ca="1">IF(A34=$I$20,$I$21,"")</f>
        <v/>
      </c>
      <c r="B35" s="199"/>
      <c r="C35" s="199"/>
      <c r="D35" s="168" t="str">
        <f t="shared" ca="1" si="0"/>
        <v/>
      </c>
      <c r="E35" s="184" t="str">
        <f t="shared" ca="1" si="1"/>
        <v/>
      </c>
      <c r="F35" s="171" t="str">
        <f t="shared" ca="1" si="2"/>
        <v/>
      </c>
      <c r="G35" s="172" t="str">
        <f t="shared" ca="1" si="5"/>
        <v/>
      </c>
      <c r="L35" s="198" t="e">
        <f>IF(L34=$I$20,$I$21,"")</f>
        <v>#NAME?</v>
      </c>
      <c r="M35" s="199"/>
      <c r="N35" s="199"/>
      <c r="O35" s="168" t="str">
        <f t="shared" si="3"/>
        <v/>
      </c>
      <c r="P35" s="174" t="e">
        <f>IF(L35=$I$20,VLOOKUP(L34,#REF!,2,FALSE),IF(L35=$I$21,VLOOKUP(L33,#REF!,2,FALSE),""))</f>
        <v>#NAME?</v>
      </c>
      <c r="Q35" s="171" t="str">
        <f t="shared" si="4"/>
        <v/>
      </c>
      <c r="R35" s="172" t="str">
        <f t="shared" si="6"/>
        <v/>
      </c>
    </row>
    <row r="36" spans="1:18" ht="15" hidden="1" customHeight="1" x14ac:dyDescent="0.3">
      <c r="A36" s="196" t="str">
        <f ca="1">IF(VLOOKUP($B$1,LAV,10,FALSE)=0,"",VLOOKUP($B$1,LAV,10,FALSE))</f>
        <v/>
      </c>
      <c r="B36" s="197"/>
      <c r="C36" s="197"/>
      <c r="D36" s="168" t="str">
        <f t="shared" ca="1" si="0"/>
        <v/>
      </c>
      <c r="E36" s="184" t="str">
        <f t="shared" ca="1" si="1"/>
        <v/>
      </c>
      <c r="F36" s="171" t="str">
        <f t="shared" ca="1" si="2"/>
        <v/>
      </c>
      <c r="G36" s="172" t="str">
        <f t="shared" ca="1" si="5"/>
        <v/>
      </c>
      <c r="L36" s="196" t="e" cm="1">
        <f t="array" ref="L36">INDEX(lavorazioni_secondostrato,(VLOOKUP($B$1,lavorazioni_secondostrato,2,FALSE)+1),10)</f>
        <v>#NAME?</v>
      </c>
      <c r="M36" s="197"/>
      <c r="N36" s="197"/>
      <c r="O36" s="168" t="str">
        <f t="shared" si="3"/>
        <v/>
      </c>
      <c r="P36" s="174" t="e">
        <f>IF(L36=$I$20,VLOOKUP(L35,#REF!,2,FALSE),IF(L36=$I$21,VLOOKUP(L34,#REF!,2,FALSE),""))</f>
        <v>#NAME?</v>
      </c>
      <c r="Q36" s="171" t="str">
        <f t="shared" si="4"/>
        <v/>
      </c>
      <c r="R36" s="172" t="str">
        <f t="shared" si="6"/>
        <v/>
      </c>
    </row>
    <row r="37" spans="1:18" ht="15" hidden="1" customHeight="1" x14ac:dyDescent="0.3">
      <c r="A37" s="198" t="str">
        <f ca="1">IF(A36="","",$I$20)</f>
        <v/>
      </c>
      <c r="B37" s="199"/>
      <c r="C37" s="199"/>
      <c r="D37" s="168" t="str">
        <f t="shared" ca="1" si="0"/>
        <v/>
      </c>
      <c r="E37" s="184" t="str">
        <f t="shared" ca="1" si="1"/>
        <v/>
      </c>
      <c r="F37" s="171" t="str">
        <f t="shared" ca="1" si="2"/>
        <v/>
      </c>
      <c r="G37" s="172" t="str">
        <f t="shared" ca="1" si="5"/>
        <v/>
      </c>
      <c r="L37" s="198" t="e">
        <f>IF(L36="","",$I$20)</f>
        <v>#NAME?</v>
      </c>
      <c r="M37" s="199"/>
      <c r="N37" s="199"/>
      <c r="O37" s="168" t="str">
        <f t="shared" si="3"/>
        <v/>
      </c>
      <c r="P37" s="174" t="e">
        <f>IF(L37=$I$20,VLOOKUP(L36,#REF!,2,FALSE),IF(L37=$I$21,VLOOKUP(L35,#REF!,2,FALSE),""))</f>
        <v>#NAME?</v>
      </c>
      <c r="Q37" s="171" t="str">
        <f t="shared" si="4"/>
        <v/>
      </c>
      <c r="R37" s="172" t="str">
        <f t="shared" si="6"/>
        <v/>
      </c>
    </row>
    <row r="38" spans="1:18" ht="15" hidden="1" customHeight="1" x14ac:dyDescent="0.3">
      <c r="A38" s="198" t="str">
        <f ca="1">IF(A37=$I$20,$I$21,"")</f>
        <v/>
      </c>
      <c r="B38" s="199"/>
      <c r="C38" s="199"/>
      <c r="D38" s="168" t="str">
        <f t="shared" ca="1" si="0"/>
        <v/>
      </c>
      <c r="E38" s="184" t="str">
        <f t="shared" ca="1" si="1"/>
        <v/>
      </c>
      <c r="F38" s="171" t="str">
        <f t="shared" ca="1" si="2"/>
        <v/>
      </c>
      <c r="G38" s="172" t="str">
        <f t="shared" ca="1" si="5"/>
        <v/>
      </c>
      <c r="L38" s="198" t="e">
        <f>IF(L37=$I$20,$I$21,"")</f>
        <v>#NAME?</v>
      </c>
      <c r="M38" s="199"/>
      <c r="N38" s="199"/>
      <c r="O38" s="168" t="str">
        <f t="shared" si="3"/>
        <v/>
      </c>
      <c r="P38" s="174" t="e">
        <f>IF(L38=$I$20,VLOOKUP(L37,#REF!,2,FALSE),IF(L38=$I$21,VLOOKUP(L36,#REF!,2,FALSE),""))</f>
        <v>#NAME?</v>
      </c>
      <c r="Q38" s="171" t="str">
        <f t="shared" si="4"/>
        <v/>
      </c>
      <c r="R38" s="172" t="str">
        <f t="shared" si="6"/>
        <v/>
      </c>
    </row>
    <row r="39" spans="1:18" ht="15" hidden="1" customHeight="1" x14ac:dyDescent="0.3">
      <c r="A39" s="196" t="str">
        <f ca="1">IF(VLOOKUP($B$1,LAV,11,FALSE)=0,"",VLOOKUP($B$1,LAV,11,FALSE))</f>
        <v/>
      </c>
      <c r="B39" s="197"/>
      <c r="C39" s="197"/>
      <c r="D39" s="168" t="str">
        <f t="shared" ca="1" si="0"/>
        <v/>
      </c>
      <c r="E39" s="184" t="str">
        <f t="shared" ca="1" si="1"/>
        <v/>
      </c>
      <c r="F39" s="171" t="str">
        <f t="shared" ca="1" si="2"/>
        <v/>
      </c>
      <c r="G39" s="172" t="str">
        <f t="shared" ca="1" si="5"/>
        <v/>
      </c>
      <c r="L39" s="196" t="e" cm="1">
        <f t="array" ref="L39">INDEX(lavorazioni_secondostrato,(VLOOKUP($B$1,lavorazioni_secondostrato,2,FALSE)+1),11)</f>
        <v>#NAME?</v>
      </c>
      <c r="M39" s="197"/>
      <c r="N39" s="197"/>
      <c r="O39" s="168" t="str">
        <f t="shared" si="3"/>
        <v/>
      </c>
      <c r="P39" s="174" t="e">
        <f>IF(L39=$I$20,VLOOKUP(L38,#REF!,2,FALSE),IF(L39=$I$21,VLOOKUP(L37,#REF!,2,FALSE),""))</f>
        <v>#NAME?</v>
      </c>
      <c r="Q39" s="171" t="str">
        <f t="shared" si="4"/>
        <v/>
      </c>
      <c r="R39" s="172" t="str">
        <f t="shared" si="6"/>
        <v/>
      </c>
    </row>
    <row r="40" spans="1:18" ht="15" hidden="1" customHeight="1" x14ac:dyDescent="0.3">
      <c r="A40" s="198" t="str">
        <f ca="1">IF(A39="","",$I$20)</f>
        <v/>
      </c>
      <c r="B40" s="199"/>
      <c r="C40" s="199"/>
      <c r="D40" s="168" t="str">
        <f t="shared" ca="1" si="0"/>
        <v/>
      </c>
      <c r="E40" s="184" t="str">
        <f t="shared" ca="1" si="1"/>
        <v/>
      </c>
      <c r="F40" s="171" t="str">
        <f t="shared" ca="1" si="2"/>
        <v/>
      </c>
      <c r="G40" s="172" t="str">
        <f t="shared" ca="1" si="5"/>
        <v/>
      </c>
      <c r="L40" s="198" t="e">
        <f>IF(L39="","",$I$20)</f>
        <v>#NAME?</v>
      </c>
      <c r="M40" s="199"/>
      <c r="N40" s="199"/>
      <c r="O40" s="168" t="str">
        <f t="shared" si="3"/>
        <v/>
      </c>
      <c r="P40" s="174" t="e">
        <f>IF(L40=$I$20,VLOOKUP(L39,#REF!,2,FALSE),IF(L40=$I$21,VLOOKUP(L38,#REF!,2,FALSE),""))</f>
        <v>#NAME?</v>
      </c>
      <c r="Q40" s="171" t="str">
        <f t="shared" si="4"/>
        <v/>
      </c>
      <c r="R40" s="172" t="str">
        <f t="shared" si="6"/>
        <v/>
      </c>
    </row>
    <row r="41" spans="1:18" ht="15" hidden="1" customHeight="1" x14ac:dyDescent="0.3">
      <c r="A41" s="198" t="str">
        <f ca="1">IF(A40=$I$20,$I$21,"")</f>
        <v/>
      </c>
      <c r="B41" s="199"/>
      <c r="C41" s="199"/>
      <c r="D41" s="168" t="str">
        <f t="shared" ca="1" si="0"/>
        <v/>
      </c>
      <c r="E41" s="184" t="str">
        <f t="shared" ca="1" si="1"/>
        <v/>
      </c>
      <c r="F41" s="171" t="str">
        <f t="shared" ca="1" si="2"/>
        <v/>
      </c>
      <c r="G41" s="172" t="str">
        <f t="shared" ca="1" si="5"/>
        <v/>
      </c>
      <c r="L41" s="198" t="e">
        <f>IF(L40=$I$20,$I$21,"")</f>
        <v>#NAME?</v>
      </c>
      <c r="M41" s="199"/>
      <c r="N41" s="199"/>
      <c r="O41" s="168" t="str">
        <f t="shared" si="3"/>
        <v/>
      </c>
      <c r="P41" s="174" t="e">
        <f>IF(L41=$I$20,VLOOKUP(L40,#REF!,2,FALSE),IF(L41=$I$21,VLOOKUP(L39,#REF!,2,FALSE),""))</f>
        <v>#NAME?</v>
      </c>
      <c r="Q41" s="171" t="str">
        <f t="shared" si="4"/>
        <v/>
      </c>
      <c r="R41" s="172" t="str">
        <f t="shared" si="6"/>
        <v/>
      </c>
    </row>
    <row r="42" spans="1:18" ht="15" hidden="1" customHeight="1" x14ac:dyDescent="0.3">
      <c r="A42" s="196" t="str">
        <f ca="1">IF(VLOOKUP($B$1,LAV,12,FALSE)=0,"",VLOOKUP($B$1,LAV,12,FALSE))</f>
        <v/>
      </c>
      <c r="B42" s="197"/>
      <c r="C42" s="197"/>
      <c r="D42" s="168" t="str">
        <f t="shared" ca="1" si="0"/>
        <v/>
      </c>
      <c r="E42" s="184" t="str">
        <f t="shared" ca="1" si="1"/>
        <v/>
      </c>
      <c r="F42" s="171" t="str">
        <f t="shared" ca="1" si="2"/>
        <v/>
      </c>
      <c r="G42" s="172" t="str">
        <f t="shared" ca="1" si="5"/>
        <v/>
      </c>
      <c r="L42" s="196" t="e" cm="1">
        <f t="array" ref="L42">INDEX(lavorazioni_secondostrato,(VLOOKUP($B$1,lavorazioni_secondostrato,2,FALSE)+1),12)</f>
        <v>#NAME?</v>
      </c>
      <c r="M42" s="197"/>
      <c r="N42" s="197"/>
      <c r="O42" s="168" t="str">
        <f t="shared" si="3"/>
        <v/>
      </c>
      <c r="P42" s="174" t="e">
        <f>IF(L42=$I$20,VLOOKUP(L41,#REF!,2,FALSE),IF(L42=$I$21,VLOOKUP(L40,#REF!,2,FALSE),""))</f>
        <v>#NAME?</v>
      </c>
      <c r="Q42" s="171" t="str">
        <f t="shared" si="4"/>
        <v/>
      </c>
      <c r="R42" s="172" t="str">
        <f t="shared" si="6"/>
        <v/>
      </c>
    </row>
    <row r="43" spans="1:18" ht="15" hidden="1" customHeight="1" x14ac:dyDescent="0.3">
      <c r="A43" s="198" t="str">
        <f ca="1">IF(A42="","",$I$20)</f>
        <v/>
      </c>
      <c r="B43" s="199"/>
      <c r="C43" s="199"/>
      <c r="D43" s="168" t="str">
        <f t="shared" ca="1" si="0"/>
        <v/>
      </c>
      <c r="E43" s="184" t="str">
        <f t="shared" ca="1" si="1"/>
        <v/>
      </c>
      <c r="F43" s="171" t="str">
        <f t="shared" ca="1" si="2"/>
        <v/>
      </c>
      <c r="G43" s="172" t="str">
        <f t="shared" ca="1" si="5"/>
        <v/>
      </c>
      <c r="L43" s="198" t="e">
        <f>IF(L42="","",$I$20)</f>
        <v>#NAME?</v>
      </c>
      <c r="M43" s="199"/>
      <c r="N43" s="199"/>
      <c r="O43" s="168" t="str">
        <f t="shared" si="3"/>
        <v/>
      </c>
      <c r="P43" s="174" t="e">
        <f>IF(L43=$I$20,VLOOKUP(L42,#REF!,2,FALSE),IF(L43=$I$21,VLOOKUP(L41,#REF!,2,FALSE),""))</f>
        <v>#NAME?</v>
      </c>
      <c r="Q43" s="171" t="str">
        <f t="shared" si="4"/>
        <v/>
      </c>
      <c r="R43" s="172" t="str">
        <f t="shared" si="6"/>
        <v/>
      </c>
    </row>
    <row r="44" spans="1:18" ht="15" hidden="1" customHeight="1" x14ac:dyDescent="0.3">
      <c r="A44" s="198" t="str">
        <f ca="1">IF(A43=$I$20,$I$21,"")</f>
        <v/>
      </c>
      <c r="B44" s="199"/>
      <c r="C44" s="199"/>
      <c r="D44" s="168" t="str">
        <f t="shared" ca="1" si="0"/>
        <v/>
      </c>
      <c r="E44" s="184" t="str">
        <f t="shared" ca="1" si="1"/>
        <v/>
      </c>
      <c r="F44" s="171" t="str">
        <f t="shared" ca="1" si="2"/>
        <v/>
      </c>
      <c r="G44" s="172" t="str">
        <f t="shared" ca="1" si="5"/>
        <v/>
      </c>
      <c r="L44" s="198" t="e">
        <f>IF(L43=$I$20,$I$21,"")</f>
        <v>#NAME?</v>
      </c>
      <c r="M44" s="199"/>
      <c r="N44" s="199"/>
      <c r="O44" s="168" t="str">
        <f t="shared" si="3"/>
        <v/>
      </c>
      <c r="P44" s="174" t="e">
        <f>IF(L44=$I$20,VLOOKUP(L43,#REF!,2,FALSE),IF(L44=$I$21,VLOOKUP(L42,#REF!,2,FALSE),""))</f>
        <v>#NAME?</v>
      </c>
      <c r="Q44" s="171" t="str">
        <f t="shared" si="4"/>
        <v/>
      </c>
      <c r="R44" s="172" t="str">
        <f t="shared" si="6"/>
        <v/>
      </c>
    </row>
    <row r="45" spans="1:18" ht="15" hidden="1" customHeight="1" x14ac:dyDescent="0.3">
      <c r="A45" s="196"/>
      <c r="B45" s="197"/>
      <c r="C45" s="197"/>
      <c r="D45" s="168" t="str">
        <f t="shared" ca="1" si="0"/>
        <v/>
      </c>
      <c r="E45" s="184" t="str">
        <f t="shared" si="1"/>
        <v/>
      </c>
      <c r="F45" s="171" t="str">
        <f t="shared" ca="1" si="2"/>
        <v/>
      </c>
      <c r="G45" s="172" t="str">
        <f t="shared" ca="1" si="5"/>
        <v/>
      </c>
      <c r="L45" s="196" t="e" cm="1">
        <f t="array" ref="L45">INDEX(lavorazioni_secondostrato,(VLOOKUP($B$1,lavorazioni_secondostrato,2,FALSE)+1),12)</f>
        <v>#NAME?</v>
      </c>
      <c r="M45" s="197"/>
      <c r="N45" s="197"/>
      <c r="O45" s="168" t="str">
        <f t="shared" si="3"/>
        <v/>
      </c>
      <c r="P45" s="174" t="e">
        <f>IF(L45=$I$20,VLOOKUP(L44,#REF!,2,FALSE),IF(L45=$I$21,VLOOKUP(L43,#REF!,2,FALSE),""))</f>
        <v>#NAME?</v>
      </c>
      <c r="Q45" s="171" t="str">
        <f t="shared" si="4"/>
        <v/>
      </c>
      <c r="R45" s="172" t="str">
        <f t="shared" si="6"/>
        <v/>
      </c>
    </row>
    <row r="46" spans="1:18" ht="15" hidden="1" customHeight="1" x14ac:dyDescent="0.3">
      <c r="A46" s="194"/>
      <c r="B46" s="195"/>
      <c r="C46" s="195"/>
      <c r="D46" s="168" t="str">
        <f t="shared" ca="1" si="0"/>
        <v/>
      </c>
      <c r="E46" s="184" t="str">
        <f t="shared" si="1"/>
        <v/>
      </c>
      <c r="F46" s="171" t="str">
        <f t="shared" ca="1" si="2"/>
        <v/>
      </c>
      <c r="G46" s="172" t="str">
        <f t="shared" ca="1" si="5"/>
        <v/>
      </c>
      <c r="L46" s="194"/>
      <c r="M46" s="195"/>
      <c r="N46" s="195"/>
      <c r="O46" s="168" t="str">
        <f t="shared" si="3"/>
        <v/>
      </c>
      <c r="P46" s="174" t="e">
        <f>IF(L46=$I$20,VLOOKUP(L45,#REF!,2,FALSE),IF(L46=$I$21,VLOOKUP(L44,#REF!,2,FALSE),""))</f>
        <v>#NAME?</v>
      </c>
      <c r="Q46" s="171" t="str">
        <f t="shared" si="4"/>
        <v/>
      </c>
      <c r="R46" s="172" t="str">
        <f t="shared" si="6"/>
        <v/>
      </c>
    </row>
    <row r="47" spans="1:18" ht="15" hidden="1" customHeight="1" x14ac:dyDescent="0.3">
      <c r="A47" s="194"/>
      <c r="B47" s="195"/>
      <c r="C47" s="195"/>
      <c r="D47" s="168" t="str">
        <f t="shared" ca="1" si="0"/>
        <v/>
      </c>
      <c r="E47" s="184" t="str">
        <f t="shared" si="1"/>
        <v/>
      </c>
      <c r="F47" s="171" t="str">
        <f t="shared" ca="1" si="2"/>
        <v/>
      </c>
      <c r="G47" s="172" t="str">
        <f t="shared" ca="1" si="5"/>
        <v/>
      </c>
      <c r="L47" s="194"/>
      <c r="M47" s="195"/>
      <c r="N47" s="195"/>
      <c r="O47" s="168" t="str">
        <f t="shared" si="3"/>
        <v/>
      </c>
      <c r="P47" s="174" t="e">
        <f>IF(L47=$I$20,VLOOKUP(L46,#REF!,2,FALSE),IF(L47=$I$21,VLOOKUP(L45,#REF!,2,FALSE),""))</f>
        <v>#NAME?</v>
      </c>
      <c r="Q47" s="171" t="str">
        <f t="shared" si="4"/>
        <v/>
      </c>
      <c r="R47" s="172" t="str">
        <f t="shared" si="6"/>
        <v/>
      </c>
    </row>
    <row r="48" spans="1:18" ht="15" hidden="1" customHeight="1" x14ac:dyDescent="0.3">
      <c r="A48" s="194"/>
      <c r="B48" s="195"/>
      <c r="C48" s="195"/>
      <c r="D48" s="168" t="str">
        <f t="shared" ca="1" si="0"/>
        <v/>
      </c>
      <c r="E48" s="184" t="str">
        <f t="shared" si="1"/>
        <v/>
      </c>
      <c r="F48" s="171" t="str">
        <f t="shared" ca="1" si="2"/>
        <v/>
      </c>
      <c r="G48" s="172" t="str">
        <f t="shared" ca="1" si="5"/>
        <v/>
      </c>
      <c r="L48" s="196" t="e" cm="1">
        <f t="array" ref="L48">INDEX(lavorazioni_secondostrato,(VLOOKUP($B$1,lavorazioni_secondostrato,2,FALSE)+1),13)</f>
        <v>#NAME?</v>
      </c>
      <c r="M48" s="197"/>
      <c r="N48" s="197"/>
      <c r="O48" s="168" t="str">
        <f t="shared" si="3"/>
        <v/>
      </c>
      <c r="P48" s="174" t="e">
        <f>IF(L48=$I$20,VLOOKUP(L47,#REF!,2,FALSE),IF(L48=$I$21,VLOOKUP(L46,#REF!,2,FALSE),""))</f>
        <v>#NAME?</v>
      </c>
      <c r="Q48" s="171" t="str">
        <f t="shared" si="4"/>
        <v/>
      </c>
      <c r="R48" s="172" t="str">
        <f t="shared" si="6"/>
        <v/>
      </c>
    </row>
    <row r="49" spans="1:18" ht="15" hidden="1" customHeight="1" x14ac:dyDescent="0.3">
      <c r="A49" s="194"/>
      <c r="B49" s="195"/>
      <c r="C49" s="195"/>
      <c r="D49" s="168" t="str">
        <f t="shared" ca="1" si="0"/>
        <v/>
      </c>
      <c r="E49" s="184" t="str">
        <f t="shared" si="1"/>
        <v/>
      </c>
      <c r="F49" s="171" t="str">
        <f t="shared" ca="1" si="2"/>
        <v/>
      </c>
      <c r="G49" s="172" t="str">
        <f t="shared" ca="1" si="5"/>
        <v/>
      </c>
      <c r="L49" s="194"/>
      <c r="M49" s="195"/>
      <c r="N49" s="195"/>
      <c r="O49" s="168" t="str">
        <f t="shared" si="3"/>
        <v/>
      </c>
      <c r="P49" s="174" t="e">
        <f>IF(L49=$I$20,VLOOKUP(L48,#REF!,2,FALSE),IF(L49=$I$21,VLOOKUP(L47,#REF!,2,FALSE),""))</f>
        <v>#REF!</v>
      </c>
      <c r="Q49" s="171" t="str">
        <f t="shared" si="4"/>
        <v/>
      </c>
      <c r="R49" s="172" t="str">
        <f t="shared" si="6"/>
        <v/>
      </c>
    </row>
    <row r="50" spans="1:18" ht="15" hidden="1" customHeight="1" x14ac:dyDescent="0.3">
      <c r="A50" s="194"/>
      <c r="B50" s="195"/>
      <c r="C50" s="195"/>
      <c r="D50" s="168" t="str">
        <f t="shared" ca="1" si="0"/>
        <v/>
      </c>
      <c r="E50" s="184" t="str">
        <f t="shared" si="1"/>
        <v/>
      </c>
      <c r="F50" s="171" t="str">
        <f t="shared" ca="1" si="2"/>
        <v/>
      </c>
      <c r="G50" s="172" t="str">
        <f t="shared" ca="1" si="5"/>
        <v/>
      </c>
      <c r="L50" s="194"/>
      <c r="M50" s="195"/>
      <c r="N50" s="195"/>
      <c r="O50" s="168" t="str">
        <f t="shared" si="3"/>
        <v/>
      </c>
      <c r="P50" s="174" t="e">
        <f>IF(L50=$I$20,VLOOKUP(L49,#REF!,2,FALSE),IF(L50=$I$21,VLOOKUP(L48,#REF!,2,FALSE),""))</f>
        <v>#NAME?</v>
      </c>
      <c r="Q50" s="171" t="str">
        <f t="shared" si="4"/>
        <v/>
      </c>
      <c r="R50" s="172" t="str">
        <f t="shared" si="6"/>
        <v/>
      </c>
    </row>
    <row r="51" spans="1:18" ht="15" hidden="1" customHeight="1" x14ac:dyDescent="0.3">
      <c r="A51" s="194"/>
      <c r="B51" s="195"/>
      <c r="C51" s="195"/>
      <c r="D51" s="168" t="str">
        <f t="shared" ca="1" si="0"/>
        <v/>
      </c>
      <c r="E51" s="184" t="str">
        <f t="shared" si="1"/>
        <v/>
      </c>
      <c r="F51" s="171" t="str">
        <f t="shared" ca="1" si="2"/>
        <v/>
      </c>
      <c r="G51" s="172" t="str">
        <f t="shared" ca="1" si="5"/>
        <v/>
      </c>
      <c r="L51" s="194"/>
      <c r="M51" s="195"/>
      <c r="N51" s="195"/>
      <c r="O51" s="168" t="str">
        <f t="shared" si="3"/>
        <v/>
      </c>
      <c r="P51" s="174" t="e">
        <f>IF(L51=$I$20,VLOOKUP(L50,#REF!,2,FALSE),IF(L51=$I$21,VLOOKUP(L49,#REF!,2,FALSE),""))</f>
        <v>#REF!</v>
      </c>
      <c r="Q51" s="171" t="str">
        <f t="shared" si="4"/>
        <v/>
      </c>
      <c r="R51" s="172" t="str">
        <f t="shared" si="6"/>
        <v/>
      </c>
    </row>
    <row r="52" spans="1:18" ht="15" customHeight="1" x14ac:dyDescent="0.3">
      <c r="A52" s="194"/>
      <c r="B52" s="195"/>
      <c r="C52" s="195"/>
      <c r="D52" s="173" t="str">
        <f>IFERROR(VLOOKUP(A52,prezzi,2,FALSE),"")</f>
        <v/>
      </c>
      <c r="E52" s="184" t="str">
        <f t="shared" si="1"/>
        <v/>
      </c>
      <c r="F52" s="176" t="s">
        <v>38</v>
      </c>
      <c r="G52" s="177">
        <f ca="1">SUM(G21:G51)</f>
        <v>20.475000000000001</v>
      </c>
      <c r="L52" s="194"/>
      <c r="M52" s="195"/>
      <c r="N52" s="195"/>
      <c r="O52" s="168" t="str">
        <f t="shared" si="3"/>
        <v/>
      </c>
      <c r="P52" s="174" t="e">
        <f>IF(L52=$I$20,VLOOKUP(L51,#REF!,2,FALSE),IF(L52=$I$21,VLOOKUP(L50,#REF!,2,FALSE),""))</f>
        <v>#REF!</v>
      </c>
      <c r="Q52" s="176" t="s">
        <v>38</v>
      </c>
      <c r="R52" s="177">
        <f>SUM(R21:R51)</f>
        <v>0</v>
      </c>
    </row>
    <row r="53" spans="1:18" ht="15" customHeight="1" x14ac:dyDescent="0.3">
      <c r="A53" s="203" t="s">
        <v>12</v>
      </c>
      <c r="B53" s="204"/>
      <c r="C53" s="204"/>
      <c r="D53" s="173" t="str">
        <f t="shared" ref="D53:D67" si="7">IFERROR(VLOOKUP(A53,prezzi,2,FALSE),"")</f>
        <v/>
      </c>
      <c r="E53" s="184"/>
      <c r="F53" s="164"/>
      <c r="G53" s="178"/>
    </row>
    <row r="54" spans="1:18" ht="15" customHeight="1" x14ac:dyDescent="0.3">
      <c r="A54" s="179" t="str">
        <f ca="1">IF(VLOOKUP($B$1,PR,2,FALSE)=0,"",VLOOKUP($B$1,PR,2,FALSE))</f>
        <v>Klima Flex (Adesivo)</v>
      </c>
      <c r="B54" s="180"/>
      <c r="C54" s="164"/>
      <c r="D54" s="173" t="str">
        <f t="shared" ref="D54:D66" ca="1" si="8">IFERROR(VLOOKUP(A54,PRZ,2,FALSE),"")</f>
        <v>kg/mq</v>
      </c>
      <c r="E54" s="184">
        <f ca="1">IFERROR(IF(VLOOKUP(_xlfn.CONCAT(A54,B54),calcolo_prodotti[],3,FALSE)=0,"",VLOOKUP(_xlfn.CONCAT(A54,B54),calcolo_prodotti[],3,FALSE)),"")</f>
        <v>5</v>
      </c>
      <c r="F54" s="171">
        <f t="shared" ref="F54:F66" ca="1" si="9">IFERROR(VLOOKUP(A54,PRZ,3,FALSE),"")</f>
        <v>1.1100000000000001</v>
      </c>
      <c r="G54" s="172">
        <f ca="1" xml:space="preserve"> IFERROR(F54*E54,"")</f>
        <v>5.5500000000000007</v>
      </c>
    </row>
    <row r="55" spans="1:18" ht="15" customHeight="1" x14ac:dyDescent="0.3">
      <c r="A55" s="179" t="str">
        <f ca="1">IF(VLOOKUP($B$1,PR,3,FALSE)=0,"",VLOOKUP($B$1,PR,3,FALSE))</f>
        <v>Klima Airwool 100 mm</v>
      </c>
      <c r="B55" s="180"/>
      <c r="C55" s="164"/>
      <c r="D55" s="173" t="str">
        <f t="shared" ca="1" si="8"/>
        <v>mq/mq</v>
      </c>
      <c r="E55" s="184">
        <f ca="1">IFERROR(IF(VLOOKUP(_xlfn.CONCAT(A55,B55),calcolo_prodotti[],3,FALSE)=0,"",VLOOKUP(_xlfn.CONCAT(A55,B55),calcolo_prodotti[],3,FALSE)),"")</f>
        <v>1</v>
      </c>
      <c r="F55" s="171">
        <f t="shared" ca="1" si="9"/>
        <v>27.5</v>
      </c>
      <c r="G55" s="172">
        <f t="shared" ref="G55:G66" ca="1" si="10" xml:space="preserve"> IFERROR(F55*E55,"")</f>
        <v>27.5</v>
      </c>
    </row>
    <row r="56" spans="1:18" ht="15" customHeight="1" x14ac:dyDescent="0.3">
      <c r="A56" s="179" t="str">
        <f ca="1">IF(VLOOKUP($B$1,PR,4,FALSE)=0,"",VLOOKUP($B$1,PR,4,FALSE))</f>
        <v xml:space="preserve">Tassello a percussione Acciaio/Nylon </v>
      </c>
      <c r="B56" s="180"/>
      <c r="C56" s="164"/>
      <c r="D56" s="173" t="str">
        <f t="shared" ca="1" si="8"/>
        <v/>
      </c>
      <c r="E56" s="184" t="str">
        <f ca="1">IFERROR(IF(VLOOKUP(_xlfn.CONCAT(A56,B56),calcolo_prodotti[],3,FALSE)=0,"",VLOOKUP(_xlfn.CONCAT(A56,B56),calcolo_prodotti[],3,FALSE)),"")</f>
        <v/>
      </c>
      <c r="F56" s="171" t="str">
        <f t="shared" ca="1" si="9"/>
        <v/>
      </c>
      <c r="G56" s="172" t="str">
        <f t="shared" ca="1" si="10"/>
        <v/>
      </c>
    </row>
    <row r="57" spans="1:18" ht="15" customHeight="1" x14ac:dyDescent="0.3">
      <c r="A57" s="179" t="str">
        <f ca="1">IF(VLOOKUP($B$1,PR,5,FALSE)=0,"",VLOOKUP($B$1,PR,5,FALSE))</f>
        <v>Keraklima Eco Granello (Rasante)</v>
      </c>
      <c r="B57" s="164"/>
      <c r="C57" s="181"/>
      <c r="D57" s="173" t="str">
        <f t="shared" ca="1" si="8"/>
        <v>kg/mq</v>
      </c>
      <c r="E57" s="184">
        <f ca="1">IFERROR(IF(VLOOKUP(_xlfn.CONCAT(A57,B57),calcolo_prodotti[],3,FALSE)=0,"",VLOOKUP(_xlfn.CONCAT(A57,B57),calcolo_prodotti[],3,FALSE)),"")</f>
        <v>8</v>
      </c>
      <c r="F57" s="171">
        <f t="shared" ca="1" si="9"/>
        <v>0.95</v>
      </c>
      <c r="G57" s="172">
        <f t="shared" ca="1" si="10"/>
        <v>7.6</v>
      </c>
    </row>
    <row r="58" spans="1:18" ht="15" customHeight="1" x14ac:dyDescent="0.3">
      <c r="A58" s="179" t="str">
        <f ca="1">IF(VLOOKUP($B$1,PR,6,FALSE)=0,"",VLOOKUP($B$1,PR,6,FALSE))</f>
        <v>Rinforzo V50</v>
      </c>
      <c r="B58" s="164"/>
      <c r="C58" s="181"/>
      <c r="D58" s="173" t="str">
        <f t="shared" ca="1" si="8"/>
        <v>mq/mq</v>
      </c>
      <c r="E58" s="184">
        <f ca="1">IFERROR(IF(VLOOKUP(_xlfn.CONCAT(A58,B58),calcolo_prodotti[],3,FALSE)=0,"",VLOOKUP(_xlfn.CONCAT(A58,B58),calcolo_prodotti[],3,FALSE)),"")</f>
        <v>1.1000000000000001</v>
      </c>
      <c r="F58" s="171">
        <f t="shared" ca="1" si="9"/>
        <v>1.81</v>
      </c>
      <c r="G58" s="172">
        <f t="shared" ca="1" si="10"/>
        <v>1.9910000000000003</v>
      </c>
    </row>
    <row r="59" spans="1:18" ht="15" customHeight="1" x14ac:dyDescent="0.3">
      <c r="A59" s="179" t="str">
        <f ca="1">IF(VLOOKUP($B$1,PR,7,FALSE)=0,"",VLOOKUP($B$1,PR,7,FALSE))</f>
        <v>Kerakover Acrilex Fondo</v>
      </c>
      <c r="B59" s="164"/>
      <c r="C59" s="181"/>
      <c r="D59" s="173" t="str">
        <f t="shared" ca="1" si="8"/>
        <v>l/mq</v>
      </c>
      <c r="E59" s="184">
        <f ca="1">IFERROR(IF(VLOOKUP(_xlfn.CONCAT(A59,B59),calcolo_prodotti[],3,FALSE)=0,"",VLOOKUP(_xlfn.CONCAT(A59,B59),calcolo_prodotti[],3,FALSE)),"")</f>
        <v>0.2</v>
      </c>
      <c r="F59" s="171">
        <f t="shared" ca="1" si="9"/>
        <v>8.8000000000000007</v>
      </c>
      <c r="G59" s="172">
        <f t="shared" ca="1" si="10"/>
        <v>1.7600000000000002</v>
      </c>
    </row>
    <row r="60" spans="1:18" ht="15" customHeight="1" x14ac:dyDescent="0.3">
      <c r="A60" s="179" t="str">
        <f ca="1">IF(VLOOKUP($B$1,PR,8,FALSE)=0,"",VLOOKUP($B$1,PR,8,FALSE))</f>
        <v>Kerakover Acrilex Finish 1.0 Colorato B</v>
      </c>
      <c r="B60" s="164"/>
      <c r="C60" s="182"/>
      <c r="D60" s="173" t="str">
        <f t="shared" ca="1" si="8"/>
        <v>kg/mq</v>
      </c>
      <c r="E60" s="184">
        <f ca="1">IFERROR(IF(VLOOKUP(_xlfn.CONCAT(A60,B60),calcolo_prodotti[],3,FALSE)=0,"",VLOOKUP(_xlfn.CONCAT(A60,B60),calcolo_prodotti[],3,FALSE)),"")</f>
        <v>1.8</v>
      </c>
      <c r="F60" s="171">
        <f t="shared" ca="1" si="9"/>
        <v>3.38</v>
      </c>
      <c r="G60" s="172">
        <f t="shared" ca="1" si="10"/>
        <v>6.0839999999999996</v>
      </c>
    </row>
    <row r="61" spans="1:18" ht="15" hidden="1" customHeight="1" x14ac:dyDescent="0.3">
      <c r="A61" s="179" t="str">
        <f ca="1">IF(VLOOKUP($B$1,PR,9,FALSE)=0,"",VLOOKUP($B$1,PR,9,FALSE))</f>
        <v/>
      </c>
      <c r="B61" s="164"/>
      <c r="C61" s="182"/>
      <c r="D61" s="173" t="str">
        <f t="shared" ca="1" si="8"/>
        <v/>
      </c>
      <c r="E61" s="184" t="str">
        <f ca="1">IFERROR(IF(VLOOKUP(_xlfn.CONCAT(A61,B61),calcolo_prodotti[],3,FALSE)=0,"",VLOOKUP(_xlfn.CONCAT(A61,B61),calcolo_prodotti[],3,FALSE)),"")</f>
        <v/>
      </c>
      <c r="F61" s="171" t="str">
        <f t="shared" ca="1" si="9"/>
        <v/>
      </c>
      <c r="G61" s="172" t="str">
        <f t="shared" ca="1" si="10"/>
        <v/>
      </c>
    </row>
    <row r="62" spans="1:18" ht="15" hidden="1" customHeight="1" x14ac:dyDescent="0.3">
      <c r="A62" s="179" t="str">
        <f ca="1">IF(VLOOKUP($B$1,PR,10,FALSE)=0,"",VLOOKUP($B$1,PR,10,FALSE))</f>
        <v/>
      </c>
      <c r="B62" s="164"/>
      <c r="C62" s="182"/>
      <c r="D62" s="173" t="str">
        <f t="shared" ca="1" si="8"/>
        <v/>
      </c>
      <c r="E62" s="184" t="str">
        <f ca="1">IFERROR(IF(VLOOKUP(_xlfn.CONCAT(A62,B62),calcolo_prodotti[],3,FALSE)=0,"",VLOOKUP(_xlfn.CONCAT(A62,B62),calcolo_prodotti[],3,FALSE)),"")</f>
        <v/>
      </c>
      <c r="F62" s="171" t="str">
        <f t="shared" ca="1" si="9"/>
        <v/>
      </c>
      <c r="G62" s="172" t="str">
        <f t="shared" ca="1" si="10"/>
        <v/>
      </c>
    </row>
    <row r="63" spans="1:18" ht="15" hidden="1" customHeight="1" x14ac:dyDescent="0.3">
      <c r="A63" s="179" t="str">
        <f ca="1">IF(VLOOKUP($B$1,PR,11,FALSE)=0,"",VLOOKUP($B$1,PR,11,FALSE))</f>
        <v/>
      </c>
      <c r="B63" s="164"/>
      <c r="C63" s="182"/>
      <c r="D63" s="173" t="str">
        <f t="shared" ca="1" si="8"/>
        <v/>
      </c>
      <c r="E63" s="184" t="str">
        <f ca="1">IFERROR(IF(VLOOKUP(_xlfn.CONCAT(A63,B63),calcolo_prodotti[],3,FALSE)=0,"",VLOOKUP(_xlfn.CONCAT(A63,B63),calcolo_prodotti[],3,FALSE)),"")</f>
        <v/>
      </c>
      <c r="F63" s="171" t="str">
        <f t="shared" ca="1" si="9"/>
        <v/>
      </c>
      <c r="G63" s="172" t="str">
        <f t="shared" ca="1" si="10"/>
        <v/>
      </c>
    </row>
    <row r="64" spans="1:18" ht="15" hidden="1" customHeight="1" x14ac:dyDescent="0.3">
      <c r="A64" s="179" t="str">
        <f ca="1">IF(VLOOKUP($B$1,PR,12,FALSE)=0,"",VLOOKUP($B$1,PR,12,FALSE))</f>
        <v/>
      </c>
      <c r="B64" s="164"/>
      <c r="C64" s="182"/>
      <c r="D64" s="173" t="str">
        <f t="shared" ca="1" si="8"/>
        <v/>
      </c>
      <c r="E64" s="184" t="str">
        <f ca="1">IFERROR(IF(VLOOKUP(_xlfn.CONCAT(A64,B64),calcolo_prodotti[],3,FALSE)=0,"",VLOOKUP(_xlfn.CONCAT(A64,B64),calcolo_prodotti[],3,FALSE)),"")</f>
        <v/>
      </c>
      <c r="F64" s="171" t="str">
        <f t="shared" ca="1" si="9"/>
        <v/>
      </c>
      <c r="G64" s="172" t="str">
        <f t="shared" ca="1" si="10"/>
        <v/>
      </c>
    </row>
    <row r="65" spans="1:9" ht="15" hidden="1" customHeight="1" x14ac:dyDescent="0.3">
      <c r="A65" s="179" t="str">
        <f ca="1">IF(VLOOKUP($B$1,PR,13,FALSE)=0,"",VLOOKUP($B$1,PR,13,FALSE))</f>
        <v/>
      </c>
      <c r="B65" s="164"/>
      <c r="C65" s="182"/>
      <c r="D65" s="173" t="str">
        <f t="shared" ca="1" si="8"/>
        <v/>
      </c>
      <c r="E65" s="184" t="str">
        <f ca="1">IFERROR(IF(VLOOKUP(_xlfn.CONCAT(A65,B65),calcolo_prodotti[],3,FALSE)=0,"",VLOOKUP(_xlfn.CONCAT(A65,B65),calcolo_prodotti[],3,FALSE)),"")</f>
        <v/>
      </c>
      <c r="F65" s="171" t="str">
        <f t="shared" ca="1" si="9"/>
        <v/>
      </c>
      <c r="G65" s="172" t="str">
        <f t="shared" ca="1" si="10"/>
        <v/>
      </c>
    </row>
    <row r="66" spans="1:9" ht="15" hidden="1" customHeight="1" x14ac:dyDescent="0.3">
      <c r="A66" s="183"/>
      <c r="B66" s="182"/>
      <c r="C66" s="182"/>
      <c r="D66" s="173" t="str">
        <f t="shared" ca="1" si="8"/>
        <v/>
      </c>
      <c r="E66" s="184" t="str">
        <f>IFERROR(IF(VLOOKUP(_xlfn.CONCAT(A66,B66),calcolo_prodotti[],3,FALSE)=0,"",VLOOKUP(_xlfn.CONCAT(A66,B66),calcolo_prodotti[],3,FALSE)),"")</f>
        <v/>
      </c>
      <c r="F66" s="171" t="str">
        <f t="shared" ca="1" si="9"/>
        <v/>
      </c>
      <c r="G66" s="172" t="str">
        <f t="shared" ca="1" si="10"/>
        <v/>
      </c>
    </row>
    <row r="67" spans="1:9" ht="15" customHeight="1" x14ac:dyDescent="0.3">
      <c r="A67" s="183"/>
      <c r="B67" s="182"/>
      <c r="C67" s="182"/>
      <c r="D67" s="173" t="str">
        <f t="shared" si="7"/>
        <v/>
      </c>
      <c r="E67" s="184"/>
      <c r="F67" s="176" t="s">
        <v>13</v>
      </c>
      <c r="G67" s="177">
        <f ca="1">SUM(G54:G66)</f>
        <v>50.484999999999999</v>
      </c>
    </row>
    <row r="68" spans="1:9" ht="15" customHeight="1" x14ac:dyDescent="0.3">
      <c r="A68" s="203" t="s">
        <v>14</v>
      </c>
      <c r="B68" s="204"/>
      <c r="C68" s="204"/>
      <c r="D68" s="173"/>
      <c r="E68" s="184"/>
      <c r="F68" s="176"/>
      <c r="G68" s="172"/>
    </row>
    <row r="69" spans="1:9" ht="15" customHeight="1" x14ac:dyDescent="0.3">
      <c r="A69" s="183" t="s">
        <v>6</v>
      </c>
      <c r="B69" s="182"/>
      <c r="C69" s="182"/>
      <c r="D69" s="173" t="s">
        <v>152</v>
      </c>
      <c r="E69" s="184">
        <v>0.2</v>
      </c>
      <c r="F69" s="171">
        <v>8</v>
      </c>
      <c r="G69" s="172">
        <f xml:space="preserve"> F69*E69</f>
        <v>1.6</v>
      </c>
    </row>
    <row r="70" spans="1:9" ht="15" customHeight="1" x14ac:dyDescent="0.3">
      <c r="A70" s="183" t="s">
        <v>10</v>
      </c>
      <c r="B70" s="182"/>
      <c r="C70" s="182"/>
      <c r="D70" s="185" t="s">
        <v>4</v>
      </c>
      <c r="E70" s="184">
        <f ca="1">ausiliaria_noli[[#Totals],[Ausiliaria per calcolo noli e trasporti]]</f>
        <v>25.66</v>
      </c>
      <c r="F70" s="186">
        <f>0.02</f>
        <v>0.02</v>
      </c>
      <c r="G70" s="172">
        <f ca="1" xml:space="preserve"> F70*E70</f>
        <v>0.51319999999999999</v>
      </c>
    </row>
    <row r="71" spans="1:9" ht="15" customHeight="1" x14ac:dyDescent="0.3">
      <c r="A71" s="183"/>
      <c r="B71" s="182"/>
      <c r="C71" s="182"/>
      <c r="D71" s="164"/>
      <c r="E71" s="164"/>
      <c r="F71" s="176" t="s">
        <v>15</v>
      </c>
      <c r="G71" s="177">
        <f ca="1">SUM(G69:G70)</f>
        <v>2.1132</v>
      </c>
    </row>
    <row r="72" spans="1:9" ht="15" customHeight="1" x14ac:dyDescent="0.3">
      <c r="A72" s="162"/>
      <c r="B72" s="163"/>
      <c r="C72" s="164"/>
      <c r="D72" s="164"/>
      <c r="E72" s="164"/>
      <c r="F72" s="176" t="s">
        <v>47</v>
      </c>
      <c r="G72" s="172">
        <f ca="1">SUM(G71,G67,G52)</f>
        <v>73.0732</v>
      </c>
      <c r="I72" s="187"/>
    </row>
    <row r="73" spans="1:9" ht="15" customHeight="1" x14ac:dyDescent="0.3">
      <c r="A73" s="162"/>
      <c r="B73" s="163"/>
      <c r="C73" s="164"/>
      <c r="D73" s="164"/>
      <c r="E73" s="164"/>
      <c r="F73" s="188" t="s">
        <v>16</v>
      </c>
      <c r="G73" s="172">
        <f ca="1">G72*0.17</f>
        <v>12.422444</v>
      </c>
      <c r="I73" s="187"/>
    </row>
    <row r="74" spans="1:9" ht="15" customHeight="1" x14ac:dyDescent="0.3">
      <c r="A74" s="189"/>
      <c r="B74" s="164"/>
      <c r="C74" s="164"/>
      <c r="D74" s="164"/>
      <c r="E74" s="164"/>
      <c r="F74" s="188" t="s">
        <v>17</v>
      </c>
      <c r="G74" s="172">
        <f ca="1">(G72+G73)*0.1</f>
        <v>8.5495643999999995</v>
      </c>
      <c r="I74" s="187"/>
    </row>
    <row r="75" spans="1:9" ht="15" customHeight="1" thickBot="1" x14ac:dyDescent="0.3">
      <c r="A75" s="200" t="s">
        <v>595</v>
      </c>
      <c r="B75" s="201"/>
      <c r="C75" s="201"/>
      <c r="D75" s="201"/>
      <c r="E75" s="201"/>
      <c r="F75" s="201"/>
      <c r="G75" s="202"/>
    </row>
    <row r="76" spans="1:9" ht="33" customHeight="1" thickBot="1" x14ac:dyDescent="0.3">
      <c r="A76" s="190"/>
      <c r="B76" s="214" t="s">
        <v>49</v>
      </c>
      <c r="C76" s="214"/>
      <c r="D76" s="213" t="s">
        <v>48</v>
      </c>
      <c r="E76" s="213"/>
      <c r="F76" s="213"/>
      <c r="G76" s="191">
        <f ca="1">G72+G73+G74</f>
        <v>94.045208399999993</v>
      </c>
    </row>
    <row r="77" spans="1:9" ht="13" thickBot="1" x14ac:dyDescent="0.3"/>
    <row r="78" spans="1:9" s="192" customFormat="1" ht="18" x14ac:dyDescent="0.4">
      <c r="A78" s="207" t="s">
        <v>18</v>
      </c>
      <c r="B78" s="208"/>
      <c r="C78" s="208"/>
      <c r="D78" s="208"/>
      <c r="E78" s="208"/>
      <c r="F78" s="208"/>
      <c r="G78" s="209"/>
    </row>
    <row r="79" spans="1:9" s="192" customFormat="1" ht="260" customHeight="1" thickBot="1" x14ac:dyDescent="0.3">
      <c r="A79" s="210" t="str">
        <f ca="1">IFERROR(VLOOKUP($B$1,PREZ,31,FALSE),"")</f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  <c r="B79" s="211"/>
      <c r="C79" s="211"/>
      <c r="D79" s="211"/>
      <c r="E79" s="211"/>
      <c r="F79" s="211"/>
      <c r="G79" s="212"/>
      <c r="I79" s="193"/>
    </row>
  </sheetData>
  <sheetProtection algorithmName="SHA-512" hashValue="wdAwq1OPff2k1fY5cSVlEkK6V7qnXgCynFlEbm8ZrsOz+j6gNAjpK+F1mzTBKSjZh7sUhHLwN+yhYSf+SL98uQ==" saltValue="NDNUtYTOgReRkon/dTtE1w==" spinCount="100000" sheet="1" formatCells="0" formatColumns="0" formatRows="0" insertColumns="0" insertRows="0" insertHyperlinks="0" deleteColumns="0" deleteRows="0" sort="0" autoFilter="0" pivotTables="0"/>
  <protectedRanges>
    <protectedRange sqref="E7:F7 A10:E10 A18:G75 A7:C7" name="Intervallo1"/>
  </protectedRanges>
  <mergeCells count="80">
    <mergeCell ref="A45:C45"/>
    <mergeCell ref="A44:C44"/>
    <mergeCell ref="A33:C33"/>
    <mergeCell ref="A34:C34"/>
    <mergeCell ref="A52:C52"/>
    <mergeCell ref="A48:C48"/>
    <mergeCell ref="A35:C35"/>
    <mergeCell ref="A43:C43"/>
    <mergeCell ref="A49:C49"/>
    <mergeCell ref="A50:C50"/>
    <mergeCell ref="A51:C51"/>
    <mergeCell ref="A19:C19"/>
    <mergeCell ref="A12:G17"/>
    <mergeCell ref="A4:D5"/>
    <mergeCell ref="C1:F3"/>
    <mergeCell ref="G4:G11"/>
    <mergeCell ref="E5:F5"/>
    <mergeCell ref="B1:B3"/>
    <mergeCell ref="A78:G78"/>
    <mergeCell ref="A79:G79"/>
    <mergeCell ref="D76:F76"/>
    <mergeCell ref="B76:C76"/>
    <mergeCell ref="A21:C21"/>
    <mergeCell ref="A25:C25"/>
    <mergeCell ref="A22:C22"/>
    <mergeCell ref="A23:C23"/>
    <mergeCell ref="A24:C24"/>
    <mergeCell ref="A26:C26"/>
    <mergeCell ref="A27:C27"/>
    <mergeCell ref="A30:C30"/>
    <mergeCell ref="A28:C28"/>
    <mergeCell ref="A29:C29"/>
    <mergeCell ref="A32:C32"/>
    <mergeCell ref="A31:C31"/>
    <mergeCell ref="L24:N24"/>
    <mergeCell ref="L25:N25"/>
    <mergeCell ref="L26:N26"/>
    <mergeCell ref="L27:N27"/>
    <mergeCell ref="A20:C20"/>
    <mergeCell ref="L20:N20"/>
    <mergeCell ref="L21:N21"/>
    <mergeCell ref="L22:N22"/>
    <mergeCell ref="L23:N23"/>
    <mergeCell ref="L28:N28"/>
    <mergeCell ref="L29:N29"/>
    <mergeCell ref="L30:N30"/>
    <mergeCell ref="L31:N31"/>
    <mergeCell ref="A75:G75"/>
    <mergeCell ref="A68:C68"/>
    <mergeCell ref="A53:C53"/>
    <mergeCell ref="A36:C36"/>
    <mergeCell ref="A37:C37"/>
    <mergeCell ref="A38:C38"/>
    <mergeCell ref="A39:C39"/>
    <mergeCell ref="A40:C40"/>
    <mergeCell ref="A41:C41"/>
    <mergeCell ref="A42:C42"/>
    <mergeCell ref="A47:C47"/>
    <mergeCell ref="A46:C46"/>
    <mergeCell ref="L32:N32"/>
    <mergeCell ref="L33:N33"/>
    <mergeCell ref="L34:N34"/>
    <mergeCell ref="L35:N35"/>
    <mergeCell ref="L36:N36"/>
    <mergeCell ref="L37:N37"/>
    <mergeCell ref="L38:N38"/>
    <mergeCell ref="L39:N39"/>
    <mergeCell ref="L40:N40"/>
    <mergeCell ref="L41:N41"/>
    <mergeCell ref="L42:N42"/>
    <mergeCell ref="L43:N43"/>
    <mergeCell ref="L44:N44"/>
    <mergeCell ref="L45:N45"/>
    <mergeCell ref="L46:N46"/>
    <mergeCell ref="L52:N52"/>
    <mergeCell ref="L47:N47"/>
    <mergeCell ref="L48:N48"/>
    <mergeCell ref="L49:N49"/>
    <mergeCell ref="L50:N50"/>
    <mergeCell ref="L51:N51"/>
  </mergeCells>
  <conditionalFormatting sqref="F6 E9:E10 A8:D10 A6:C7 E6:E7">
    <cfRule type="cellIs" dxfId="50" priority="26" operator="equal">
      <formula>0</formula>
    </cfRule>
  </conditionalFormatting>
  <conditionalFormatting sqref="A7:C7 E7">
    <cfRule type="expression" dxfId="49" priority="25">
      <formula>ISBLANK(A7)</formula>
    </cfRule>
  </conditionalFormatting>
  <conditionalFormatting sqref="A6:A7 A9:E9 A6:C6 E6:F6">
    <cfRule type="expression" dxfId="48" priority="23">
      <formula>ISTEXT(A6)</formula>
    </cfRule>
  </conditionalFormatting>
  <conditionalFormatting sqref="A9:E9">
    <cfRule type="expression" dxfId="47" priority="22">
      <formula>ISTEXT(A9)</formula>
    </cfRule>
  </conditionalFormatting>
  <conditionalFormatting sqref="F9:F10">
    <cfRule type="cellIs" dxfId="46" priority="17" operator="equal">
      <formula>0</formula>
    </cfRule>
  </conditionalFormatting>
  <conditionalFormatting sqref="F9:F10">
    <cfRule type="expression" dxfId="45" priority="15">
      <formula>ISTEXT(F9)</formula>
    </cfRule>
  </conditionalFormatting>
  <conditionalFormatting sqref="A6:C6 E6:F6">
    <cfRule type="cellIs" dxfId="44" priority="10" operator="equal">
      <formula>""</formula>
    </cfRule>
  </conditionalFormatting>
  <conditionalFormatting sqref="A10:E10 A7:C7 E7:F7">
    <cfRule type="expression" dxfId="43" priority="11">
      <formula>ISNUMBER(A7)</formula>
    </cfRule>
    <cfRule type="expression" dxfId="42" priority="21">
      <formula>ISTEXT(A7)</formula>
    </cfRule>
  </conditionalFormatting>
  <conditionalFormatting sqref="F7">
    <cfRule type="cellIs" dxfId="41" priority="9" operator="equal">
      <formula>0</formula>
    </cfRule>
  </conditionalFormatting>
  <conditionalFormatting sqref="F7">
    <cfRule type="expression" dxfId="40" priority="8">
      <formula>ISBLANK(F7)</formula>
    </cfRule>
  </conditionalFormatting>
  <conditionalFormatting sqref="D7">
    <cfRule type="expression" dxfId="39" priority="1">
      <formula>ISNUMBER(D7)</formula>
    </cfRule>
    <cfRule type="expression" dxfId="38" priority="2">
      <formula>ISTEXT(D7)</formula>
    </cfRule>
  </conditionalFormatting>
  <conditionalFormatting sqref="D6">
    <cfRule type="cellIs" dxfId="37" priority="7" operator="equal">
      <formula>0</formula>
    </cfRule>
  </conditionalFormatting>
  <conditionalFormatting sqref="D6">
    <cfRule type="expression" dxfId="36" priority="6">
      <formula>ISTEXT(D6)</formula>
    </cfRule>
  </conditionalFormatting>
  <conditionalFormatting sqref="D6">
    <cfRule type="cellIs" dxfId="35" priority="5" operator="equal">
      <formula>""</formula>
    </cfRule>
  </conditionalFormatting>
  <conditionalFormatting sqref="D7">
    <cfRule type="cellIs" dxfId="34" priority="4" operator="equal">
      <formula>0</formula>
    </cfRule>
  </conditionalFormatting>
  <conditionalFormatting sqref="D7">
    <cfRule type="expression" dxfId="33" priority="3">
      <formula>ISBLANK(D7)</formula>
    </cfRule>
  </conditionalFormatting>
  <dataValidations xWindow="392" yWindow="570" count="4">
    <dataValidation type="list" allowBlank="1" showInputMessage="1" showErrorMessage="1" sqref="G2" xr:uid="{0CEB5576-BE91-408C-B26D-161E9D84E00B}">
      <formula1>Reg</formula1>
    </dataValidation>
    <dataValidation type="list" allowBlank="1" sqref="D10" xr:uid="{76FD22B1-3867-48AD-9C12-362AF65A1408}">
      <formula1>NTAS</formula1>
    </dataValidation>
    <dataValidation type="list" allowBlank="1" showInputMessage="1" showErrorMessage="1" sqref="A2:A3" xr:uid="{58356DDD-630B-4005-A763-98455DA7208D}">
      <formula1>RIF_TITOLO</formula1>
    </dataValidation>
    <dataValidation type="list" allowBlank="1" showInputMessage="1" showErrorMessage="1" sqref="B1:B3" xr:uid="{4E0C3157-8E6A-423C-BEDF-5443665043F3}">
      <formula1>VAR_VOCE</formula1>
    </dataValidation>
  </dataValidations>
  <printOptions gridLines="1"/>
  <pageMargins left="0.70866141732283472" right="0.70866141732283472" top="0.74803149606299213" bottom="0.74803149606299213" header="0.31496062992125984" footer="0.31496062992125984"/>
  <pageSetup paperSize="9" scale="3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392" yWindow="570" count="10">
        <x14:dataValidation type="list" allowBlank="1" showInputMessage="1" showErrorMessage="1" xr:uid="{9FD8A63B-5299-47DF-B857-C9A65E1FD875}">
          <x14:formula1>
            <xm:f>OFFSET(Var_voce!$AA$3,0,0,COUNTA(Var_voce!$AA$3:$AA$16),1)</xm:f>
          </x14:formula1>
          <xm:sqref>D7</xm:sqref>
        </x14:dataValidation>
        <x14:dataValidation type="list" allowBlank="1" xr:uid="{E85806B0-66BF-4639-BD9D-D2E0543F175E}">
          <x14:formula1>
            <xm:f>OFFSET(Var_voce!$X$3,0,0,COUNTA(Var_voce!$X$3:$X$16),1)</xm:f>
          </x14:formula1>
          <xm:sqref>A7</xm:sqref>
        </x14:dataValidation>
        <x14:dataValidation type="list" allowBlank="1" xr:uid="{D703EB51-3144-4384-873B-68B0D382F356}">
          <x14:formula1>
            <xm:f>OFFSET(Var_voce!$Y$3,0,0,COUNTA(Var_voce!$Y$3:$Y$15),1)</xm:f>
          </x14:formula1>
          <xm:sqref>B7</xm:sqref>
        </x14:dataValidation>
        <x14:dataValidation type="list" allowBlank="1" xr:uid="{5ADB5CA5-F57C-4901-9E65-9407D7BFC767}">
          <x14:formula1>
            <xm:f>OFFSET(Var_voce!$Z$3,0,0,COUNTA(Var_voce!$Z$3:$Z$15),1)</xm:f>
          </x14:formula1>
          <xm:sqref>C7</xm:sqref>
        </x14:dataValidation>
        <x14:dataValidation type="list" allowBlank="1" xr:uid="{ECD4BCA0-056E-4C46-9E94-C486BDDBB4AF}">
          <x14:formula1>
            <xm:f>OFFSET(Var_voce!$AB$3,0,0,COUNTA(Var_voce!$AB$3:$AB$16),1)</xm:f>
          </x14:formula1>
          <xm:sqref>E7</xm:sqref>
        </x14:dataValidation>
        <x14:dataValidation type="list" allowBlank="1" showInputMessage="1" showErrorMessage="1" xr:uid="{352BCA65-5020-46BE-AAD5-9426AB0B818D}">
          <x14:formula1>
            <xm:f>OFFSET(Var_voce!$AC$3,0,0,COUNTA(Var_voce!$AC$3:$AC$16),1)</xm:f>
          </x14:formula1>
          <xm:sqref>F7</xm:sqref>
        </x14:dataValidation>
        <x14:dataValidation type="list" allowBlank="1" xr:uid="{2C4C61B4-4A18-4AD0-8967-1E381B1EEE3D}">
          <x14:formula1>
            <xm:f>OFFSET(Var_voce!$AD$3,0,0,COUNTA(Var_voce!$AD$3:$AD$16),1)</xm:f>
          </x14:formula1>
          <xm:sqref>A10</xm:sqref>
        </x14:dataValidation>
        <x14:dataValidation type="list" allowBlank="1" xr:uid="{EFB8A8D0-D044-4A41-AADA-17210FE02976}">
          <x14:formula1>
            <xm:f>OFFSET(Var_voce!$AE$3,0,0,COUNTA(Var_voce!$AE$3:$AE$16),1)</xm:f>
          </x14:formula1>
          <xm:sqref>B10</xm:sqref>
        </x14:dataValidation>
        <x14:dataValidation type="list" allowBlank="1" xr:uid="{396682A3-4401-49C4-A2A4-5D5A60303E08}">
          <x14:formula1>
            <xm:f>OFFSET(Var_voce!$AG$3,0,0,COUNTA(Var_voce!$AG$3:$AG$20),1)</xm:f>
          </x14:formula1>
          <xm:sqref>E10</xm:sqref>
        </x14:dataValidation>
        <x14:dataValidation type="list" allowBlank="1" xr:uid="{12B14AC3-4C27-46A8-B740-F992F16C23AD}">
          <x14:formula1>
            <xm:f>OFFSET(Var_voce!$AF$2,1,0,COUNTA(Var_voce!AF2:AF15)-1,1)</xm:f>
          </x14:formula1>
          <xm:sqref>C10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D2FC6-EC64-4C21-B91B-2BD7458BB353}">
  <sheetPr codeName="Foglio2"/>
  <dimension ref="B1:F23"/>
  <sheetViews>
    <sheetView topLeftCell="A16" workbookViewId="0">
      <selection activeCell="B1" sqref="B1:B3"/>
    </sheetView>
  </sheetViews>
  <sheetFormatPr defaultRowHeight="12.5" x14ac:dyDescent="0.25"/>
  <cols>
    <col min="1" max="1" width="2.26953125" customWidth="1"/>
    <col min="2" max="2" width="40.26953125" bestFit="1" customWidth="1"/>
    <col min="3" max="3" width="77.1796875" bestFit="1" customWidth="1"/>
    <col min="4" max="4" width="24.26953125" customWidth="1"/>
  </cols>
  <sheetData>
    <row r="1" spans="2:6" ht="19" customHeight="1" thickBot="1" x14ac:dyDescent="0.3"/>
    <row r="2" spans="2:6" ht="16.5" customHeight="1" x14ac:dyDescent="0.3">
      <c r="B2" s="45" t="s">
        <v>55</v>
      </c>
      <c r="C2" s="46"/>
      <c r="D2" s="2" t="s">
        <v>447</v>
      </c>
    </row>
    <row r="3" spans="2:6" ht="122.5" customHeight="1" x14ac:dyDescent="0.3">
      <c r="B3" s="47" t="s">
        <v>520</v>
      </c>
      <c r="C3" s="48" t="s">
        <v>98</v>
      </c>
      <c r="E3" s="2"/>
      <c r="F3">
        <f>VLOOKUP(Analisi_Voci!$B$1,Titolo_descrizione!B2:$D$22,3,FALSE)</f>
        <v>0</v>
      </c>
    </row>
    <row r="4" spans="2:6" ht="122.5" customHeight="1" x14ac:dyDescent="0.3">
      <c r="B4" s="47" t="s">
        <v>521</v>
      </c>
      <c r="C4" s="48" t="s">
        <v>100</v>
      </c>
    </row>
    <row r="5" spans="2:6" ht="122.5" customHeight="1" x14ac:dyDescent="0.3">
      <c r="B5" s="47" t="s">
        <v>522</v>
      </c>
      <c r="C5" s="48" t="s">
        <v>99</v>
      </c>
    </row>
    <row r="6" spans="2:6" ht="122.5" customHeight="1" x14ac:dyDescent="0.3">
      <c r="B6" s="47" t="s">
        <v>523</v>
      </c>
      <c r="C6" s="48" t="s">
        <v>101</v>
      </c>
    </row>
    <row r="7" spans="2:6" ht="122.5" customHeight="1" x14ac:dyDescent="0.3">
      <c r="B7" s="47" t="s">
        <v>524</v>
      </c>
      <c r="C7" s="48" t="s">
        <v>526</v>
      </c>
    </row>
    <row r="8" spans="2:6" ht="122.5" customHeight="1" x14ac:dyDescent="0.3">
      <c r="B8" s="47" t="s">
        <v>525</v>
      </c>
      <c r="C8" s="48" t="s">
        <v>527</v>
      </c>
    </row>
    <row r="9" spans="2:6" ht="122.5" customHeight="1" x14ac:dyDescent="0.3">
      <c r="B9" s="47" t="s">
        <v>515</v>
      </c>
      <c r="C9" s="48" t="s">
        <v>102</v>
      </c>
    </row>
    <row r="10" spans="2:6" ht="122.5" customHeight="1" x14ac:dyDescent="0.3">
      <c r="B10" s="47" t="s">
        <v>516</v>
      </c>
      <c r="C10" s="48" t="s">
        <v>105</v>
      </c>
    </row>
    <row r="11" spans="2:6" ht="122.5" customHeight="1" x14ac:dyDescent="0.3">
      <c r="B11" s="47" t="s">
        <v>517</v>
      </c>
      <c r="C11" s="48" t="s">
        <v>103</v>
      </c>
    </row>
    <row r="12" spans="2:6" ht="122.5" customHeight="1" x14ac:dyDescent="0.3">
      <c r="B12" s="47" t="s">
        <v>518</v>
      </c>
      <c r="C12" s="48" t="s">
        <v>104</v>
      </c>
    </row>
    <row r="13" spans="2:6" ht="122.5" customHeight="1" x14ac:dyDescent="0.3">
      <c r="B13" s="47" t="s">
        <v>528</v>
      </c>
      <c r="C13" s="48" t="s">
        <v>529</v>
      </c>
    </row>
    <row r="14" spans="2:6" ht="122.5" customHeight="1" x14ac:dyDescent="0.3">
      <c r="B14" s="47" t="s">
        <v>519</v>
      </c>
      <c r="C14" s="48" t="s">
        <v>106</v>
      </c>
    </row>
    <row r="15" spans="2:6" ht="122.5" customHeight="1" x14ac:dyDescent="0.3">
      <c r="B15" s="47" t="s">
        <v>56</v>
      </c>
      <c r="C15" s="48" t="s">
        <v>439</v>
      </c>
    </row>
    <row r="16" spans="2:6" ht="122.5" customHeight="1" x14ac:dyDescent="0.3">
      <c r="B16" s="47" t="s">
        <v>57</v>
      </c>
      <c r="C16" s="48" t="s">
        <v>440</v>
      </c>
    </row>
    <row r="17" spans="2:3" ht="122.5" customHeight="1" x14ac:dyDescent="0.3">
      <c r="B17" s="47" t="s">
        <v>58</v>
      </c>
      <c r="C17" s="48" t="s">
        <v>441</v>
      </c>
    </row>
    <row r="18" spans="2:3" ht="122.5" customHeight="1" x14ac:dyDescent="0.3">
      <c r="B18" s="47" t="s">
        <v>59</v>
      </c>
      <c r="C18" s="48" t="s">
        <v>442</v>
      </c>
    </row>
    <row r="19" spans="2:3" ht="122.5" customHeight="1" x14ac:dyDescent="0.3">
      <c r="B19" s="47" t="s">
        <v>60</v>
      </c>
      <c r="C19" s="48" t="s">
        <v>443</v>
      </c>
    </row>
    <row r="20" spans="2:3" ht="122.5" customHeight="1" x14ac:dyDescent="0.3">
      <c r="B20" s="47" t="s">
        <v>61</v>
      </c>
      <c r="C20" s="48" t="s">
        <v>444</v>
      </c>
    </row>
    <row r="21" spans="2:3" ht="122.5" customHeight="1" x14ac:dyDescent="0.3">
      <c r="B21" s="47" t="s">
        <v>62</v>
      </c>
      <c r="C21" s="48" t="s">
        <v>446</v>
      </c>
    </row>
    <row r="22" spans="2:3" ht="122.5" customHeight="1" thickBot="1" x14ac:dyDescent="0.35">
      <c r="B22" s="49" t="s">
        <v>63</v>
      </c>
      <c r="C22" s="50" t="s">
        <v>445</v>
      </c>
    </row>
    <row r="23" spans="2:3" ht="13" x14ac:dyDescent="0.3">
      <c r="B23" s="107" t="s">
        <v>530</v>
      </c>
      <c r="C23" s="108" t="s">
        <v>562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C6876-9756-4EFF-A110-6ECE226D70E1}">
  <sheetPr codeName="Foglio4"/>
  <dimension ref="B1:AF23"/>
  <sheetViews>
    <sheetView topLeftCell="A7" zoomScale="70" zoomScaleNormal="70" workbookViewId="0">
      <selection activeCell="B1" sqref="B1:B3"/>
    </sheetView>
  </sheetViews>
  <sheetFormatPr defaultRowHeight="12.5" x14ac:dyDescent="0.25"/>
  <cols>
    <col min="1" max="1" width="5.81640625" customWidth="1"/>
    <col min="2" max="2" width="40.26953125" bestFit="1" customWidth="1"/>
    <col min="3" max="3" width="31.36328125" customWidth="1"/>
    <col min="4" max="4" width="17.7265625" bestFit="1" customWidth="1"/>
    <col min="8" max="8" width="17.453125" customWidth="1"/>
    <col min="10" max="10" width="13.81640625" customWidth="1"/>
    <col min="12" max="13" width="18.81640625" customWidth="1"/>
    <col min="14" max="16" width="15.1796875" customWidth="1"/>
    <col min="17" max="17" width="28.36328125" customWidth="1"/>
    <col min="18" max="18" width="20.6328125" customWidth="1"/>
    <col min="19" max="19" width="17.7265625" customWidth="1"/>
    <col min="20" max="20" width="14.1796875" customWidth="1"/>
    <col min="21" max="21" width="21.08984375" customWidth="1"/>
    <col min="22" max="22" width="25" customWidth="1"/>
    <col min="23" max="23" width="21.08984375" customWidth="1"/>
    <col min="25" max="25" width="40.26953125" customWidth="1"/>
    <col min="26" max="26" width="57.453125" customWidth="1"/>
    <col min="28" max="28" width="76.6328125" customWidth="1"/>
    <col min="30" max="30" width="44.81640625" customWidth="1"/>
    <col min="31" max="31" width="64.453125" bestFit="1" customWidth="1"/>
    <col min="32" max="32" width="124.453125" bestFit="1" customWidth="1"/>
  </cols>
  <sheetData>
    <row r="1" spans="2:32" ht="8" customHeight="1" thickBot="1" x14ac:dyDescent="0.3"/>
    <row r="2" spans="2:32" ht="27.5" customHeight="1" x14ac:dyDescent="0.3">
      <c r="B2" s="84" t="s">
        <v>296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75"/>
      <c r="AB2" s="88" t="s">
        <v>300</v>
      </c>
    </row>
    <row r="3" spans="2:32" ht="323.5" customHeight="1" x14ac:dyDescent="0.25">
      <c r="B3" s="70" t="str" cm="1">
        <f t="array" aca="1" ref="B3:B23" ca="1">RIF_TITOLO</f>
        <v>KLIMAEXPERT ETA EPS AIR</v>
      </c>
      <c r="C3" s="16" t="s">
        <v>576</v>
      </c>
      <c r="D3" s="16" t="str">
        <f>Caratteristiche_materiali!B12</f>
        <v>pannello isolante in polistirene espanso sinterizzato (EPS) bianco marcato CE secondo EN 13163 a specifico uso ETICS</v>
      </c>
      <c r="E3" s="4" t="s">
        <v>297</v>
      </c>
      <c r="F3" s="16" t="str">
        <f ca="1">VLOOKUP(Analisi_Voci!$B$7,CAR_MAT,2,FALSE)</f>
        <v>adesivo&amp;rasante minerale ad alte prestazioni</v>
      </c>
      <c r="G3" s="4" t="s">
        <v>297</v>
      </c>
      <c r="H3" s="4" t="str">
        <f>IF(Analisi_Voci!$D$7=Analisi_Voci!$B$7,"",Caratteristiche_materiali!$B$89)</f>
        <v>rasante minerale fibrato</v>
      </c>
      <c r="I3" s="4" t="str">
        <f>IF(Analisi_Voci!$D$7=Analisi_Voci!$B$7,"",", ")</f>
        <v xml:space="preserve">, </v>
      </c>
      <c r="J3" s="16" t="str">
        <f ca="1">VLOOKUP(Analisi_Voci!$C$10,CAR_MAT,2,FALSE)</f>
        <v>tasselli a percussione in polipropilene con chiodo misto in acciaio e nylon</v>
      </c>
      <c r="K3" s="11" t="s">
        <v>297</v>
      </c>
      <c r="L3" s="16" t="str">
        <f ca="1">VLOOKUP(Analisi_Voci!$C$7,CAR_MAT,2,FALSE)</f>
        <v>rete in fibra di vetro alcali resistente (peso circa 160 gr/mq)</v>
      </c>
      <c r="M3" s="14" t="s">
        <v>297</v>
      </c>
      <c r="N3" s="16" t="str">
        <f ca="1">VLOOKUP(Analisi_Voci!$E$7,CAR_MAT,2,FALSE)</f>
        <v>fondo intermedio organico minerale a base di resine stirolo acriliche all'acqua</v>
      </c>
      <c r="O3" s="14" t="s">
        <v>301</v>
      </c>
      <c r="P3" s="14"/>
      <c r="Q3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3" s="11" t="s">
        <v>51</v>
      </c>
      <c r="S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3" s="11" t="s">
        <v>51</v>
      </c>
      <c r="U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3" s="16"/>
      <c r="X3" s="11" t="s">
        <v>51</v>
      </c>
      <c r="Y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3" s="14" t="s">
        <v>455</v>
      </c>
      <c r="AA3" s="85"/>
      <c r="AB3" s="87" t="str">
        <f t="shared" ref="AB3:AB23" ca="1" si="0">_xlfn.CONCAT(C3:Z3)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3" s="8" t="str">
        <f t="shared" ref="AD3:AD11" ca="1" si="1">_xlfn.CONCAT(C3:Y3)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3" s="105" t="s">
        <v>563</v>
      </c>
      <c r="AF3" s="8" t="str">
        <f ca="1">_xlfn.CONCAT(AD3," ",AE3)</f>
        <v xml:space="preserve"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4" spans="2:32" ht="409.5" x14ac:dyDescent="0.25">
      <c r="B4" s="70" t="str">
        <f ca="1"/>
        <v>KLIMAEXPERT ETA EPS AIR BLACK</v>
      </c>
      <c r="C4" s="16" t="s">
        <v>576</v>
      </c>
      <c r="D4" s="16" t="str">
        <f>Caratteristiche_materiali!B30</f>
        <v>pannello isolante in polistirene grafitato espanso sinterizzato (EPS) grigio marcato CE secondo EN 13163 a specifico uso ETICS</v>
      </c>
      <c r="E4" s="4" t="s">
        <v>297</v>
      </c>
      <c r="F4" s="16" t="str">
        <f ca="1">VLOOKUP(Analisi_Voci!$B$7,CAR_MAT,2,FALSE)</f>
        <v>adesivo&amp;rasante minerale ad alte prestazioni</v>
      </c>
      <c r="G4" s="11" t="s">
        <v>297</v>
      </c>
      <c r="H4" s="4" t="str">
        <f>IF(Analisi_Voci!$D$7=Analisi_Voci!$B$7,"",Caratteristiche_materiali!$B$89)</f>
        <v>rasante minerale fibrato</v>
      </c>
      <c r="I4" s="4" t="str">
        <f>IF(Analisi_Voci!$D$7=Analisi_Voci!$B$7,"",", ")</f>
        <v xml:space="preserve">, </v>
      </c>
      <c r="J4" s="16" t="str">
        <f ca="1">VLOOKUP(Analisi_Voci!$C$10,CAR_MAT,2,FALSE)</f>
        <v>tasselli a percussione in polipropilene con chiodo misto in acciaio e nylon</v>
      </c>
      <c r="K4" s="11" t="s">
        <v>297</v>
      </c>
      <c r="L4" s="16" t="str">
        <f ca="1">VLOOKUP(Analisi_Voci!$C$7,CAR_MAT,2,FALSE)</f>
        <v>rete in fibra di vetro alcali resistente (peso circa 160 gr/mq)</v>
      </c>
      <c r="M4" s="11" t="s">
        <v>297</v>
      </c>
      <c r="N4" s="16" t="str">
        <f ca="1">VLOOKUP(Analisi_Voci!$E$7,CAR_MAT,2,FALSE)</f>
        <v>fondo intermedio organico minerale a base di resine stirolo acriliche all'acqua</v>
      </c>
      <c r="O4" s="14" t="s">
        <v>301</v>
      </c>
      <c r="P4" s="14"/>
      <c r="Q4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4" s="11" t="s">
        <v>51</v>
      </c>
      <c r="S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4" s="11" t="s">
        <v>51</v>
      </c>
      <c r="U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4" s="16"/>
      <c r="X4" s="4"/>
      <c r="Y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4" s="14" t="s">
        <v>455</v>
      </c>
      <c r="AA4" s="85"/>
      <c r="AB4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4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4" s="105" t="s">
        <v>563</v>
      </c>
      <c r="AF4" s="8" t="str">
        <f t="shared" ref="AF4:AF23" ca="1" si="2">_xlfn.CONCAT(AD4," ",AE4)</f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5" spans="2:32" ht="409.5" x14ac:dyDescent="0.25">
      <c r="B5" s="70" t="str">
        <f ca="1"/>
        <v>KLIMAEXPERT ETA EPS AIRPLUS</v>
      </c>
      <c r="C5" s="16" t="s">
        <v>576</v>
      </c>
      <c r="D5" s="16" t="str">
        <f>Caratteristiche_materiali!B32</f>
        <v>pannello isolante in polistirene grafitato espanso sinterizzato (EPS) grigio con detensionamenti frontali e nervature posteriori a coda di rondine marcato CE secondo EN 13163 a specifico uso ETICS</v>
      </c>
      <c r="E5" s="4" t="s">
        <v>297</v>
      </c>
      <c r="F5" s="16" t="str">
        <f ca="1">VLOOKUP(Analisi_Voci!$B$7,CAR_MAT,2,FALSE)</f>
        <v>adesivo&amp;rasante minerale ad alte prestazioni</v>
      </c>
      <c r="G5" s="11" t="s">
        <v>297</v>
      </c>
      <c r="H5" s="4" t="str">
        <f>IF(Analisi_Voci!$D$7=Analisi_Voci!$B$7,"",Caratteristiche_materiali!$B$89)</f>
        <v>rasante minerale fibrato</v>
      </c>
      <c r="I5" s="4" t="str">
        <f>IF(Analisi_Voci!$D$7=Analisi_Voci!$B$7,"",", ")</f>
        <v xml:space="preserve">, </v>
      </c>
      <c r="J5" s="16" t="str">
        <f ca="1">VLOOKUP(Analisi_Voci!$C$10,CAR_MAT,2,FALSE)</f>
        <v>tasselli a percussione in polipropilene con chiodo misto in acciaio e nylon</v>
      </c>
      <c r="K5" s="11" t="s">
        <v>297</v>
      </c>
      <c r="L5" s="16" t="str">
        <f ca="1">VLOOKUP(Analisi_Voci!$C$7,CAR_MAT,2,FALSE)</f>
        <v>rete in fibra di vetro alcali resistente (peso circa 160 gr/mq)</v>
      </c>
      <c r="M5" s="11" t="s">
        <v>297</v>
      </c>
      <c r="N5" s="16" t="str">
        <f ca="1">VLOOKUP(Analisi_Voci!$E$7,CAR_MAT,2,FALSE)</f>
        <v>fondo intermedio organico minerale a base di resine stirolo acriliche all'acqua</v>
      </c>
      <c r="O5" s="14" t="s">
        <v>301</v>
      </c>
      <c r="P5" s="14"/>
      <c r="Q5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5" s="11" t="s">
        <v>51</v>
      </c>
      <c r="S5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5" s="11" t="s">
        <v>51</v>
      </c>
      <c r="U5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5" s="16"/>
      <c r="X5" s="11" t="s">
        <v>51</v>
      </c>
      <c r="Y5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5" s="14" t="s">
        <v>455</v>
      </c>
      <c r="AA5" s="85"/>
      <c r="AB5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5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5" s="105" t="s">
        <v>563</v>
      </c>
      <c r="AF5" s="8" t="str">
        <f t="shared" ca="1" si="2"/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6" spans="2:32" s="120" customFormat="1" ht="409.5" x14ac:dyDescent="0.25">
      <c r="B6" s="112" t="str">
        <f ca="1"/>
        <v>KLIMAEXPERT ETA EPS AIRTECH</v>
      </c>
      <c r="C6" s="114" t="s">
        <v>575</v>
      </c>
      <c r="D6" s="115" t="str">
        <f>Caratteristiche_materiali!B43</f>
        <v>pannello isolante in polistirene espanso sinterizzato (EPS) bianco con detensionamenti frontali e nervature posteriori a coda di rondine marcato CE secondo EN 13163 a specifico uso ETICS</v>
      </c>
      <c r="E6" s="116" t="s">
        <v>297</v>
      </c>
      <c r="F6" s="115" t="str">
        <f ca="1">VLOOKUP(Analisi_Voci!$B$7,CAR_MAT,2,FALSE)</f>
        <v>adesivo&amp;rasante minerale ad alte prestazioni</v>
      </c>
      <c r="G6" s="116" t="s">
        <v>297</v>
      </c>
      <c r="H6" s="4" t="str">
        <f>IF(Analisi_Voci!$D$7=Analisi_Voci!$B$7,"",Caratteristiche_materiali!$B$89)</f>
        <v>rasante minerale fibrato</v>
      </c>
      <c r="I6" s="4" t="str">
        <f>IF(Analisi_Voci!$D$7=Analisi_Voci!$B$7,"",", ")</f>
        <v xml:space="preserve">, </v>
      </c>
      <c r="J6" s="117"/>
      <c r="K6" s="117"/>
      <c r="L6" s="115" t="str">
        <f ca="1">VLOOKUP(Analisi_Voci!$C$7,CAR_MAT,2,FALSE)</f>
        <v>rete in fibra di vetro alcali resistente (peso circa 160 gr/mq)</v>
      </c>
      <c r="M6" s="116" t="s">
        <v>297</v>
      </c>
      <c r="N6" s="115" t="str">
        <f ca="1">VLOOKUP(Analisi_Voci!$E$7,CAR_MAT,2,FALSE)</f>
        <v>fondo intermedio organico minerale a base di resine stirolo acriliche all'acqua</v>
      </c>
      <c r="O6" s="114" t="s">
        <v>301</v>
      </c>
      <c r="P6" s="114"/>
      <c r="Q6" s="115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6" s="116" t="s">
        <v>51</v>
      </c>
      <c r="S6" s="115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6" s="116" t="s">
        <v>51</v>
      </c>
      <c r="U6" s="115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6" s="115"/>
      <c r="X6" s="116" t="s">
        <v>51</v>
      </c>
      <c r="Y6" s="115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6" s="114" t="s">
        <v>455</v>
      </c>
      <c r="AA6" s="118"/>
      <c r="AB6" s="119" t="str">
        <f t="shared" ca="1" si="0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6" s="121" t="str">
        <f t="shared" ca="1" si="1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6" s="105" t="s">
        <v>564</v>
      </c>
      <c r="AF6" s="8" t="str">
        <f t="shared" ca="1" si="2"/>
        <v xml:space="preserve"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v>
      </c>
    </row>
    <row r="7" spans="2:32" ht="409.5" x14ac:dyDescent="0.25">
      <c r="B7" s="70" t="str">
        <f ca="1"/>
        <v>KLIMAEXPERT ETA MW AIRWOOL</v>
      </c>
      <c r="C7" s="16" t="s">
        <v>574</v>
      </c>
      <c r="D7" s="16" t="str">
        <f>Caratteristiche_materiali!B49</f>
        <v>pannello isolante in lana di roccia monodensità (MW) marcato CE secondo EN 13162 a specifico uso ETICS</v>
      </c>
      <c r="E7" s="4" t="s">
        <v>297</v>
      </c>
      <c r="F7" s="16" t="str">
        <f ca="1">VLOOKUP(Analisi_Voci!$B$7,CAR_MAT,2,FALSE)</f>
        <v>adesivo&amp;rasante minerale ad alte prestazioni</v>
      </c>
      <c r="G7" s="11" t="s">
        <v>297</v>
      </c>
      <c r="H7" s="4" t="str">
        <f>IF(Analisi_Voci!$D$7=Analisi_Voci!$B$7,"",Caratteristiche_materiali!$B$89)</f>
        <v>rasante minerale fibrato</v>
      </c>
      <c r="I7" s="4" t="str">
        <f>IF(Analisi_Voci!$D$7=Analisi_Voci!$B$7,"",", ")</f>
        <v xml:space="preserve">, </v>
      </c>
      <c r="J7" s="16" t="str">
        <f ca="1">VLOOKUP(Analisi_Voci!$C$10,CAR_MAT,2,FALSE)</f>
        <v>tasselli a percussione in polipropilene con chiodo misto in acciaio e nylon</v>
      </c>
      <c r="K7" s="11" t="s">
        <v>51</v>
      </c>
      <c r="L7" s="16" t="str">
        <f ca="1">VLOOKUP(Analisi_Voci!$C$7,CAR_MAT,2,FALSE)</f>
        <v>rete in fibra di vetro alcali resistente (peso circa 160 gr/mq)</v>
      </c>
      <c r="M7" s="11" t="s">
        <v>297</v>
      </c>
      <c r="N7" s="16" t="str">
        <f ca="1">VLOOKUP(Analisi_Voci!$E$7,CAR_MAT,2,FALSE)</f>
        <v>fondo intermedio organico minerale a base di resine stirolo acriliche all'acqua</v>
      </c>
      <c r="O7" s="14" t="s">
        <v>301</v>
      </c>
      <c r="P7" s="14"/>
      <c r="Q7" s="16" t="str">
        <f ca="1">VLOOKUP(_xlfn.CONCAT(Var_voce!$AB$36," ",Analisi_Voci!$A$7),CAR_MAT,3,FALSE)</f>
        <v>Il pannello ha le seguenti caratteristiche: dimensioni 1200x600 mm, spessore 100 mm, classe di reazione al fuoco A1 secondo EN 13501-1, altamente traspirante (μ=1) e conducibilità termica dichiarata λD pari a 0,036 W/mK.</v>
      </c>
      <c r="R7" s="11" t="s">
        <v>51</v>
      </c>
      <c r="S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7" s="11" t="s">
        <v>51</v>
      </c>
      <c r="U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7" s="16"/>
      <c r="X7" s="11" t="s">
        <v>51</v>
      </c>
      <c r="Y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7" s="14" t="s">
        <v>455</v>
      </c>
      <c r="AA7" s="85"/>
      <c r="AB7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7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7" s="105" t="s">
        <v>563</v>
      </c>
      <c r="AF7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8" spans="2:32" ht="409.5" x14ac:dyDescent="0.25">
      <c r="B8" s="70" t="str">
        <f ca="1"/>
        <v>KLIMAEXPERT ETA MW AIRWOOL PLUS</v>
      </c>
      <c r="C8" s="16" t="s">
        <v>574</v>
      </c>
      <c r="D8" s="16" t="str">
        <f>Caratteristiche_materiali!$B$57</f>
        <v>pannello isolante in lana di roccia monodensità (MW) marcato CE secondo EN 13162 a specifico uso ETICS</v>
      </c>
      <c r="E8" s="11" t="s">
        <v>297</v>
      </c>
      <c r="F8" s="16" t="str">
        <f ca="1">VLOOKUP(Analisi_Voci!$B$7,CAR_MAT,2,FALSE)</f>
        <v>adesivo&amp;rasante minerale ad alte prestazioni</v>
      </c>
      <c r="G8" s="11" t="s">
        <v>297</v>
      </c>
      <c r="H8" s="4" t="str">
        <f>IF(Analisi_Voci!$D$7=Analisi_Voci!$B$7,"",Caratteristiche_materiali!$B$89)</f>
        <v>rasante minerale fibrato</v>
      </c>
      <c r="I8" s="4" t="str">
        <f>IF(Analisi_Voci!$D$7=Analisi_Voci!$B$7,"",", ")</f>
        <v xml:space="preserve">, </v>
      </c>
      <c r="J8" s="16" t="str">
        <f ca="1">VLOOKUP(Analisi_Voci!$C$10,CAR_MAT,2,FALSE)</f>
        <v>tasselli a percussione in polipropilene con chiodo misto in acciaio e nylon</v>
      </c>
      <c r="K8" s="11" t="s">
        <v>51</v>
      </c>
      <c r="L8" s="16" t="str">
        <f ca="1">VLOOKUP(Analisi_Voci!$C$7,CAR_MAT,2,FALSE)</f>
        <v>rete in fibra di vetro alcali resistente (peso circa 160 gr/mq)</v>
      </c>
      <c r="M8" s="11" t="s">
        <v>297</v>
      </c>
      <c r="N8" s="16" t="str">
        <f ca="1">VLOOKUP(Analisi_Voci!$E$7,CAR_MAT,2,FALSE)</f>
        <v>fondo intermedio organico minerale a base di resine stirolo acriliche all'acqua</v>
      </c>
      <c r="O8" s="14" t="s">
        <v>301</v>
      </c>
      <c r="P8" s="14"/>
      <c r="Q8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8" s="11" t="s">
        <v>51</v>
      </c>
      <c r="S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8" s="11" t="s">
        <v>51</v>
      </c>
      <c r="U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8" s="16"/>
      <c r="X8" s="11" t="s">
        <v>51</v>
      </c>
      <c r="Y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8" s="14" t="s">
        <v>455</v>
      </c>
      <c r="AA8" s="85"/>
      <c r="AB8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8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8" s="105" t="s">
        <v>563</v>
      </c>
      <c r="AF8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9" spans="2:32" ht="409.5" x14ac:dyDescent="0.25">
      <c r="B9" s="70" t="str">
        <f ca="1"/>
        <v>ASSEMBLATO EPS KLIMA AIR</v>
      </c>
      <c r="C9" s="14" t="s">
        <v>302</v>
      </c>
      <c r="D9" s="16" t="str">
        <f>Caratteristiche_materiali!B18</f>
        <v>pannello isolante in polistirene espanso sinterizzato (EPS) bianco marcato CE secondo EN 13163 a specifico uso ETICS</v>
      </c>
      <c r="E9" s="4" t="s">
        <v>297</v>
      </c>
      <c r="F9" s="16" t="str">
        <f ca="1">VLOOKUP(Analisi_Voci!$B$7,CAR_MAT,2,FALSE)</f>
        <v>adesivo&amp;rasante minerale ad alte prestazioni</v>
      </c>
      <c r="G9" s="11" t="s">
        <v>297</v>
      </c>
      <c r="H9" s="4" t="str">
        <f>IF(Analisi_Voci!$D$7=Analisi_Voci!$B$7,"",Caratteristiche_materiali!$B$89)</f>
        <v>rasante minerale fibrato</v>
      </c>
      <c r="I9" s="4" t="str">
        <f>IF(Analisi_Voci!$D$7=Analisi_Voci!$B$7,"",", ")</f>
        <v xml:space="preserve">, </v>
      </c>
      <c r="J9" s="16" t="str">
        <f ca="1">VLOOKUP(Analisi_Voci!$C$10,CAR_MAT,2,FALSE)</f>
        <v>tasselli a percussione in polipropilene con chiodo misto in acciaio e nylon</v>
      </c>
      <c r="K9" s="11" t="s">
        <v>51</v>
      </c>
      <c r="L9" s="16" t="str">
        <f ca="1">VLOOKUP(Analisi_Voci!$C$7,CAR_MAT,2,FALSE)</f>
        <v>rete in fibra di vetro alcali resistente (peso circa 160 gr/mq)</v>
      </c>
      <c r="M9" s="11" t="s">
        <v>297</v>
      </c>
      <c r="N9" s="16" t="str">
        <f ca="1">VLOOKUP(Analisi_Voci!$E$7,CAR_MAT,2,FALSE)</f>
        <v>fondo intermedio organico minerale a base di resine stirolo acriliche all'acqua</v>
      </c>
      <c r="O9" s="14" t="s">
        <v>301</v>
      </c>
      <c r="P9" s="14"/>
      <c r="Q9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9" s="11" t="s">
        <v>51</v>
      </c>
      <c r="S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9" s="11" t="s">
        <v>51</v>
      </c>
      <c r="U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9" s="16"/>
      <c r="X9" s="11" t="s">
        <v>51</v>
      </c>
      <c r="Y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9" s="14" t="s">
        <v>455</v>
      </c>
      <c r="AA9" s="85"/>
      <c r="AB9" s="87" t="str">
        <f t="shared" ca="1" si="0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9" s="8" t="str">
        <f t="shared" ca="1" si="1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9" s="105" t="s">
        <v>563</v>
      </c>
      <c r="AF9" s="8" t="str">
        <f t="shared" ca="1" si="2"/>
        <v xml:space="preserve"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0" spans="2:32" ht="409.5" x14ac:dyDescent="0.25">
      <c r="B10" s="70" t="str">
        <f ca="1"/>
        <v>ASSEMBLATO EPS KLIMA AIR BLACK</v>
      </c>
      <c r="C10" s="14" t="s">
        <v>302</v>
      </c>
      <c r="D10" s="16" t="str">
        <f>Caratteristiche_materiali!B36</f>
        <v>pannello isolante in polistirene grafitato espanso sinterizzato (EPS) grigio con detensionamenti frontali e nervature posteriori a coda di rondine marcato CE secondo EN 13163 a specifico uso ETICS</v>
      </c>
      <c r="E10" s="4" t="s">
        <v>297</v>
      </c>
      <c r="F10" s="16" t="str">
        <f ca="1">VLOOKUP(Analisi_Voci!$B$7,CAR_MAT,2,FALSE)</f>
        <v>adesivo&amp;rasante minerale ad alte prestazioni</v>
      </c>
      <c r="G10" s="11" t="s">
        <v>297</v>
      </c>
      <c r="H10" s="4" t="str">
        <f>IF(Analisi_Voci!$D$7=Analisi_Voci!$B$7,"",Caratteristiche_materiali!$B$89)</f>
        <v>rasante minerale fibrato</v>
      </c>
      <c r="I10" s="4" t="str">
        <f>IF(Analisi_Voci!$D$7=Analisi_Voci!$B$7,"",", ")</f>
        <v xml:space="preserve">, </v>
      </c>
      <c r="J10" s="16" t="str">
        <f ca="1">VLOOKUP(Analisi_Voci!$C$10,CAR_MAT,2,FALSE)</f>
        <v>tasselli a percussione in polipropilene con chiodo misto in acciaio e nylon</v>
      </c>
      <c r="K10" s="11" t="s">
        <v>51</v>
      </c>
      <c r="L10" s="16" t="str">
        <f ca="1">VLOOKUP(Analisi_Voci!$C$7,CAR_MAT,2,FALSE)</f>
        <v>rete in fibra di vetro alcali resistente (peso circa 160 gr/mq)</v>
      </c>
      <c r="M10" s="11" t="s">
        <v>297</v>
      </c>
      <c r="N10" s="16" t="str">
        <f ca="1">VLOOKUP(Analisi_Voci!$E$7,CAR_MAT,2,FALSE)</f>
        <v>fondo intermedio organico minerale a base di resine stirolo acriliche all'acqua</v>
      </c>
      <c r="O10" s="14" t="s">
        <v>301</v>
      </c>
      <c r="P10" s="14"/>
      <c r="Q10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0" s="11" t="s">
        <v>51</v>
      </c>
      <c r="S1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0" s="11" t="s">
        <v>51</v>
      </c>
      <c r="U1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0" s="16"/>
      <c r="X10" s="11" t="s">
        <v>51</v>
      </c>
      <c r="Y1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0" s="14" t="s">
        <v>455</v>
      </c>
      <c r="AA10" s="85"/>
      <c r="AB10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0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0" s="105" t="s">
        <v>563</v>
      </c>
      <c r="AF10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1" spans="2:32" ht="409.5" x14ac:dyDescent="0.25">
      <c r="B11" s="70" t="str">
        <f ca="1"/>
        <v>ASSEMBLATO EPS KLIMA AIRPLUS</v>
      </c>
      <c r="C11" s="14" t="s">
        <v>302</v>
      </c>
      <c r="D11" s="16" t="str">
        <f>Caratteristiche_materiali!B38</f>
        <v>pannello isolante in polistirene grafitato espanso sinterizzato (EPS) grigio con detensionamenti frontali e nervature posteriori a coda di rondine marcato CE secondo EN 13163 a specifico uso ETICS</v>
      </c>
      <c r="E11" s="4" t="s">
        <v>297</v>
      </c>
      <c r="F11" s="16" t="str">
        <f ca="1">VLOOKUP(Analisi_Voci!$B$7,CAR_MAT,2,FALSE)</f>
        <v>adesivo&amp;rasante minerale ad alte prestazioni</v>
      </c>
      <c r="G11" s="11" t="s">
        <v>297</v>
      </c>
      <c r="H11" s="4" t="str">
        <f>IF(Analisi_Voci!$D$7=Analisi_Voci!$B$7,"",Caratteristiche_materiali!$B$89)</f>
        <v>rasante minerale fibrato</v>
      </c>
      <c r="I11" s="4" t="str">
        <f>IF(Analisi_Voci!$D$7=Analisi_Voci!$B$7,"",", ")</f>
        <v xml:space="preserve">, </v>
      </c>
      <c r="J11" s="16" t="str">
        <f ca="1">VLOOKUP(Analisi_Voci!$C$10,CAR_MAT,2,FALSE)</f>
        <v>tasselli a percussione in polipropilene con chiodo misto in acciaio e nylon</v>
      </c>
      <c r="K11" s="11" t="s">
        <v>51</v>
      </c>
      <c r="L11" s="16" t="str">
        <f ca="1">VLOOKUP(Analisi_Voci!$C$7,CAR_MAT,2,FALSE)</f>
        <v>rete in fibra di vetro alcali resistente (peso circa 160 gr/mq)</v>
      </c>
      <c r="M11" s="11" t="s">
        <v>297</v>
      </c>
      <c r="N11" s="16" t="str">
        <f ca="1">VLOOKUP(Analisi_Voci!$E$7,CAR_MAT,2,FALSE)</f>
        <v>fondo intermedio organico minerale a base di resine stirolo acriliche all'acqua</v>
      </c>
      <c r="O11" s="14" t="s">
        <v>301</v>
      </c>
      <c r="P11" s="14"/>
      <c r="Q11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1" s="11" t="s">
        <v>51</v>
      </c>
      <c r="S1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1" s="11" t="s">
        <v>51</v>
      </c>
      <c r="U1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1" s="16"/>
      <c r="X11" s="11" t="s">
        <v>51</v>
      </c>
      <c r="Y1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1" s="14" t="s">
        <v>455</v>
      </c>
      <c r="AA11" s="85"/>
      <c r="AB11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1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1" s="105" t="s">
        <v>563</v>
      </c>
      <c r="AF11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2" spans="2:32" ht="409.5" x14ac:dyDescent="0.25">
      <c r="B12" s="70" t="str">
        <f ca="1"/>
        <v>ASSEMBLATO EPS KLIMA AIRTECH</v>
      </c>
      <c r="C12" s="14" t="s">
        <v>302</v>
      </c>
      <c r="D12" s="16" t="str">
        <f>Caratteristiche_materiali!$B$57</f>
        <v>pannello isolante in lana di roccia monodensità (MW) marcato CE secondo EN 13162 a specifico uso ETICS</v>
      </c>
      <c r="E12" s="4" t="s">
        <v>297</v>
      </c>
      <c r="F12" s="16" t="str">
        <f ca="1">VLOOKUP(Analisi_Voci!$B$7,CAR_MAT,2,FALSE)</f>
        <v>adesivo&amp;rasante minerale ad alte prestazioni</v>
      </c>
      <c r="G12" s="11" t="s">
        <v>297</v>
      </c>
      <c r="H12" s="4" t="str">
        <f>IF(Analisi_Voci!$D$7=Analisi_Voci!$B$7,"",Caratteristiche_materiali!$B$89)</f>
        <v>rasante minerale fibrato</v>
      </c>
      <c r="I12" s="4" t="str">
        <f>IF(Analisi_Voci!$D$7=Analisi_Voci!$B$7,"",", ")</f>
        <v xml:space="preserve">, </v>
      </c>
      <c r="J12" s="16" t="str">
        <f ca="1">VLOOKUP(Analisi_Voci!$C$10,CAR_MAT,2,FALSE)</f>
        <v>tasselli a percussione in polipropilene con chiodo misto in acciaio e nylon</v>
      </c>
      <c r="K12" s="11" t="s">
        <v>51</v>
      </c>
      <c r="L12" s="16" t="str">
        <f ca="1">VLOOKUP(Analisi_Voci!$C$7,CAR_MAT,2,FALSE)</f>
        <v>rete in fibra di vetro alcali resistente (peso circa 160 gr/mq)</v>
      </c>
      <c r="M12" s="11" t="s">
        <v>297</v>
      </c>
      <c r="N12" s="16" t="str">
        <f ca="1">VLOOKUP(Analisi_Voci!$E$7,CAR_MAT,2,FALSE)</f>
        <v>fondo intermedio organico minerale a base di resine stirolo acriliche all'acqua</v>
      </c>
      <c r="O12" s="14" t="s">
        <v>301</v>
      </c>
      <c r="P12" s="14"/>
      <c r="Q12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2" s="11" t="s">
        <v>51</v>
      </c>
      <c r="S1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2" s="11" t="s">
        <v>51</v>
      </c>
      <c r="U1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2" s="16"/>
      <c r="X12" s="11" t="s">
        <v>51</v>
      </c>
      <c r="Y1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2" s="14" t="s">
        <v>455</v>
      </c>
      <c r="AA12" s="85"/>
      <c r="AB12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2" s="8" t="str">
        <f t="shared" ref="AD12" ca="1" si="3">_xlfn.CONCAT(C12:Y12)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2" s="105" t="s">
        <v>563</v>
      </c>
      <c r="AF12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3" spans="2:32" ht="409.5" x14ac:dyDescent="0.25">
      <c r="B13" s="70" t="str">
        <f ca="1"/>
        <v>ASSEMBLATO MW KLIMA AIRWOOL</v>
      </c>
      <c r="C13" s="14" t="s">
        <v>302</v>
      </c>
      <c r="D13" s="16" t="str">
        <f>Caratteristiche_materiali!B49</f>
        <v>pannello isolante in lana di roccia monodensità (MW) marcato CE secondo EN 13162 a specifico uso ETICS</v>
      </c>
      <c r="E13" s="4" t="s">
        <v>297</v>
      </c>
      <c r="F13" s="16" t="str">
        <f ca="1">VLOOKUP(Analisi_Voci!$B$7,CAR_MAT,2,FALSE)</f>
        <v>adesivo&amp;rasante minerale ad alte prestazioni</v>
      </c>
      <c r="G13" s="11" t="s">
        <v>297</v>
      </c>
      <c r="H13" s="4" t="str">
        <f>IF(Analisi_Voci!$D$7=Analisi_Voci!$B$7,"",Caratteristiche_materiali!$B$89)</f>
        <v>rasante minerale fibrato</v>
      </c>
      <c r="I13" s="4" t="str">
        <f>IF(Analisi_Voci!$D$7=Analisi_Voci!$B$7,"",", ")</f>
        <v xml:space="preserve">, </v>
      </c>
      <c r="J13" s="16" t="str">
        <f ca="1">VLOOKUP(Analisi_Voci!$C$10,CAR_MAT,2,FALSE)</f>
        <v>tasselli a percussione in polipropilene con chiodo misto in acciaio e nylon</v>
      </c>
      <c r="K13" s="11" t="s">
        <v>51</v>
      </c>
      <c r="L13" s="16" t="str">
        <f ca="1">VLOOKUP(Analisi_Voci!$C$7,CAR_MAT,2,FALSE)</f>
        <v>rete in fibra di vetro alcali resistente (peso circa 160 gr/mq)</v>
      </c>
      <c r="M13" s="11" t="s">
        <v>297</v>
      </c>
      <c r="N13" s="16" t="str">
        <f ca="1">VLOOKUP(Analisi_Voci!$E$7,CAR_MAT,2,FALSE)</f>
        <v>fondo intermedio organico minerale a base di resine stirolo acriliche all'acqua</v>
      </c>
      <c r="O13" s="14" t="s">
        <v>301</v>
      </c>
      <c r="P13" s="14"/>
      <c r="Q13" s="16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13" s="11" t="s">
        <v>51</v>
      </c>
      <c r="S1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3" s="11" t="s">
        <v>51</v>
      </c>
      <c r="U1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3" s="16"/>
      <c r="X13" s="11" t="s">
        <v>51</v>
      </c>
      <c r="Y1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3" s="14" t="s">
        <v>455</v>
      </c>
      <c r="AA13" s="85"/>
      <c r="AB13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3" s="8" t="str">
        <f t="shared" ref="AD13:AD22" ca="1" si="4">_xlfn.CONCAT(C13:Y13)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3" s="105" t="s">
        <v>563</v>
      </c>
      <c r="AF13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4" spans="2:32" ht="409.5" x14ac:dyDescent="0.25">
      <c r="B14" s="70" t="str">
        <f ca="1"/>
        <v>ASSEMBLATO MW KLIMA AIRWOOL PLUS</v>
      </c>
      <c r="C14" s="14" t="s">
        <v>302</v>
      </c>
      <c r="D14" s="16" t="str">
        <f>Caratteristiche_materiali!$B$57</f>
        <v>pannello isolante in lana di roccia monodensità (MW) marcato CE secondo EN 13162 a specifico uso ETICS</v>
      </c>
      <c r="E14" s="4" t="s">
        <v>297</v>
      </c>
      <c r="F14" s="16" t="str">
        <f ca="1">VLOOKUP(Analisi_Voci!$B$7,CAR_MAT,2,FALSE)</f>
        <v>adesivo&amp;rasante minerale ad alte prestazioni</v>
      </c>
      <c r="G14" s="11" t="s">
        <v>297</v>
      </c>
      <c r="H14" s="4" t="str">
        <f>IF(Analisi_Voci!$D$7=Analisi_Voci!$B$7,"",Caratteristiche_materiali!$B$89)</f>
        <v>rasante minerale fibrato</v>
      </c>
      <c r="I14" s="4" t="str">
        <f>IF(Analisi_Voci!$D$7=Analisi_Voci!$B$7,"",", ")</f>
        <v xml:space="preserve">, </v>
      </c>
      <c r="J14" s="16" t="str">
        <f ca="1">VLOOKUP(Analisi_Voci!$C$10,CAR_MAT,2,FALSE)</f>
        <v>tasselli a percussione in polipropilene con chiodo misto in acciaio e nylon</v>
      </c>
      <c r="K14" s="11" t="s">
        <v>51</v>
      </c>
      <c r="L14" s="16" t="str">
        <f ca="1">VLOOKUP(Analisi_Voci!$C$7,CAR_MAT,2,FALSE)</f>
        <v>rete in fibra di vetro alcali resistente (peso circa 160 gr/mq)</v>
      </c>
      <c r="M14" s="11" t="s">
        <v>297</v>
      </c>
      <c r="N14" s="16" t="str">
        <f ca="1">VLOOKUP(Analisi_Voci!$E$7,CAR_MAT,2,FALSE)</f>
        <v>fondo intermedio organico minerale a base di resine stirolo acriliche all'acqua</v>
      </c>
      <c r="O14" s="14" t="s">
        <v>301</v>
      </c>
      <c r="P14" s="14"/>
      <c r="Q14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4" s="11" t="s">
        <v>51</v>
      </c>
      <c r="S1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4" s="11" t="s">
        <v>51</v>
      </c>
      <c r="U1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4" s="16"/>
      <c r="X14" s="11" t="s">
        <v>51</v>
      </c>
      <c r="Y1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4" s="14" t="s">
        <v>455</v>
      </c>
      <c r="AA14" s="85"/>
      <c r="AB14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4" s="8" t="str">
        <f t="shared" ca="1" si="4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4" s="105" t="s">
        <v>563</v>
      </c>
      <c r="AF14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5" spans="2:32" s="128" customFormat="1" ht="409.5" x14ac:dyDescent="0.25">
      <c r="B15" s="122" t="str">
        <f ca="1"/>
        <v>ASSEMBLATO EPS GENERICO</v>
      </c>
      <c r="C15" s="123" t="s">
        <v>303</v>
      </c>
      <c r="D15" s="111"/>
      <c r="E15" s="111"/>
      <c r="F15" s="124" t="str">
        <f ca="1">VLOOKUP(Analisi_Voci!$B$7,CAR_MAT,2,FALSE)</f>
        <v>adesivo&amp;rasante minerale ad alte prestazioni</v>
      </c>
      <c r="G15" s="125" t="s">
        <v>297</v>
      </c>
      <c r="H15" s="4" t="str">
        <f>IF(Analisi_Voci!$D$7=Analisi_Voci!$B$7,"",Caratteristiche_materiali!$B$89)</f>
        <v>rasante minerale fibrato</v>
      </c>
      <c r="I15" s="4" t="str">
        <f>IF(Analisi_Voci!$D$7=Analisi_Voci!$B$7,"",", ")</f>
        <v xml:space="preserve">, </v>
      </c>
      <c r="J15" s="124" t="str">
        <f ca="1">VLOOKUP(Analisi_Voci!$C$10,CAR_MAT,2,FALSE)</f>
        <v>tasselli a percussione in polipropilene con chiodo misto in acciaio e nylon</v>
      </c>
      <c r="K15" s="125" t="s">
        <v>51</v>
      </c>
      <c r="L15" s="124" t="str">
        <f ca="1">VLOOKUP(Analisi_Voci!$C$7,CAR_MAT,2,FALSE)</f>
        <v>rete in fibra di vetro alcali resistente (peso circa 160 gr/mq)</v>
      </c>
      <c r="M15" s="125" t="s">
        <v>297</v>
      </c>
      <c r="N15" s="124" t="str">
        <f ca="1">VLOOKUP(Analisi_Voci!$E$7,CAR_MAT,2,FALSE)</f>
        <v>fondo intermedio organico minerale a base di resine stirolo acriliche all'acqua</v>
      </c>
      <c r="O15" s="123" t="s">
        <v>301</v>
      </c>
      <c r="P15" s="123"/>
      <c r="Q15" s="111"/>
      <c r="R15" s="111"/>
      <c r="S15" s="124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5" s="125" t="s">
        <v>51</v>
      </c>
      <c r="U15" s="124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5" s="124"/>
      <c r="X15" s="125" t="s">
        <v>51</v>
      </c>
      <c r="Y15" s="124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5" s="123" t="s">
        <v>456</v>
      </c>
      <c r="AA15" s="126"/>
      <c r="AB15" s="12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5" s="129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5" s="130" t="s">
        <v>565</v>
      </c>
      <c r="AF15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6" spans="2:32" ht="409.5" x14ac:dyDescent="0.25">
      <c r="B16" s="89" t="str">
        <f ca="1"/>
        <v>ASSEMBLATO POLIURETANO GENERICO</v>
      </c>
      <c r="C16" s="14" t="s">
        <v>303</v>
      </c>
      <c r="D16" s="4"/>
      <c r="E16" s="4"/>
      <c r="F16" s="16" t="str">
        <f ca="1">VLOOKUP(Analisi_Voci!$B$7,CAR_MAT,2,FALSE)</f>
        <v>adesivo&amp;rasante minerale ad alte prestazioni</v>
      </c>
      <c r="G16" s="11" t="s">
        <v>297</v>
      </c>
      <c r="H16" s="4" t="str">
        <f>IF(Analisi_Voci!$D$7=Analisi_Voci!$B$7,"",Caratteristiche_materiali!$B$89)</f>
        <v>rasante minerale fibrato</v>
      </c>
      <c r="I16" s="4" t="str">
        <f>IF(Analisi_Voci!$D$7=Analisi_Voci!$B$7,"",", ")</f>
        <v xml:space="preserve">, </v>
      </c>
      <c r="J16" s="16" t="str">
        <f ca="1">VLOOKUP(Analisi_Voci!$C$10,CAR_MAT,2,FALSE)</f>
        <v>tasselli a percussione in polipropilene con chiodo misto in acciaio e nylon</v>
      </c>
      <c r="K16" s="11" t="s">
        <v>51</v>
      </c>
      <c r="L16" s="16" t="str">
        <f ca="1">VLOOKUP(Analisi_Voci!$C$7,CAR_MAT,2,FALSE)</f>
        <v>rete in fibra di vetro alcali resistente (peso circa 160 gr/mq)</v>
      </c>
      <c r="M16" s="11" t="s">
        <v>297</v>
      </c>
      <c r="N16" s="16" t="str">
        <f ca="1">VLOOKUP(Analisi_Voci!$E$7,CAR_MAT,2,FALSE)</f>
        <v>fondo intermedio organico minerale a base di resine stirolo acriliche all'acqua</v>
      </c>
      <c r="O16" s="14" t="s">
        <v>301</v>
      </c>
      <c r="P16" s="14"/>
      <c r="Q16" s="4"/>
      <c r="R16" s="4"/>
      <c r="S16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6" s="11" t="s">
        <v>51</v>
      </c>
      <c r="U16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6" s="16"/>
      <c r="X16" s="11" t="s">
        <v>51</v>
      </c>
      <c r="Y16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6" s="14" t="s">
        <v>456</v>
      </c>
      <c r="AA16" s="85"/>
      <c r="AB16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6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6" s="130" t="s">
        <v>565</v>
      </c>
      <c r="AF16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7" spans="2:32" ht="409.5" x14ac:dyDescent="0.25">
      <c r="B17" s="89" t="str">
        <f ca="1"/>
        <v>ASSEMBLATO RESINA FENOLICA GENERICO</v>
      </c>
      <c r="C17" s="14" t="s">
        <v>303</v>
      </c>
      <c r="D17" s="4"/>
      <c r="E17" s="4"/>
      <c r="F17" s="16" t="str">
        <f ca="1">VLOOKUP(Analisi_Voci!$B$7,CAR_MAT,2,FALSE)</f>
        <v>adesivo&amp;rasante minerale ad alte prestazioni</v>
      </c>
      <c r="G17" s="11" t="s">
        <v>297</v>
      </c>
      <c r="H17" s="4" t="str">
        <f>IF(Analisi_Voci!$D$7=Analisi_Voci!$B$7,"",Caratteristiche_materiali!$B$89)</f>
        <v>rasante minerale fibrato</v>
      </c>
      <c r="I17" s="4" t="str">
        <f>IF(Analisi_Voci!$D$7=Analisi_Voci!$B$7,"",", ")</f>
        <v xml:space="preserve">, </v>
      </c>
      <c r="J17" s="16" t="str">
        <f ca="1">VLOOKUP(Analisi_Voci!$C$10,CAR_MAT,2,FALSE)</f>
        <v>tasselli a percussione in polipropilene con chiodo misto in acciaio e nylon</v>
      </c>
      <c r="K17" s="11" t="s">
        <v>51</v>
      </c>
      <c r="L17" s="16" t="str">
        <f ca="1">VLOOKUP(Analisi_Voci!$C$7,CAR_MAT,2,FALSE)</f>
        <v>rete in fibra di vetro alcali resistente (peso circa 160 gr/mq)</v>
      </c>
      <c r="M17" s="11" t="s">
        <v>297</v>
      </c>
      <c r="N17" s="16" t="str">
        <f ca="1">VLOOKUP(Analisi_Voci!$E$7,CAR_MAT,2,FALSE)</f>
        <v>fondo intermedio organico minerale a base di resine stirolo acriliche all'acqua</v>
      </c>
      <c r="O17" s="14" t="s">
        <v>301</v>
      </c>
      <c r="P17" s="14"/>
      <c r="Q17" s="4"/>
      <c r="R17" s="4"/>
      <c r="S1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7" s="11" t="s">
        <v>51</v>
      </c>
      <c r="U1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7" s="16"/>
      <c r="X17" s="11" t="s">
        <v>51</v>
      </c>
      <c r="Y1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7" s="14" t="s">
        <v>456</v>
      </c>
      <c r="AA17" s="85"/>
      <c r="AB17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7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7" s="130" t="s">
        <v>565</v>
      </c>
      <c r="AF17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8" spans="2:32" ht="409.5" x14ac:dyDescent="0.25">
      <c r="B18" s="89" t="str">
        <f ca="1"/>
        <v>ASSEMBLATO LANA DI ROCCIA GENERICO</v>
      </c>
      <c r="C18" s="14" t="s">
        <v>303</v>
      </c>
      <c r="D18" s="4"/>
      <c r="E18" s="4"/>
      <c r="F18" s="16" t="str">
        <f ca="1">VLOOKUP(Analisi_Voci!$B$7,CAR_MAT,2,FALSE)</f>
        <v>adesivo&amp;rasante minerale ad alte prestazioni</v>
      </c>
      <c r="G18" s="11" t="s">
        <v>297</v>
      </c>
      <c r="H18" s="4" t="str">
        <f>IF(Analisi_Voci!$D$7=Analisi_Voci!$B$7,"",Caratteristiche_materiali!$B$89)</f>
        <v>rasante minerale fibrato</v>
      </c>
      <c r="I18" s="4" t="str">
        <f>IF(Analisi_Voci!$D$7=Analisi_Voci!$B$7,"",", ")</f>
        <v xml:space="preserve">, </v>
      </c>
      <c r="J18" s="16" t="str">
        <f ca="1">VLOOKUP(Analisi_Voci!$C$10,CAR_MAT,2,FALSE)</f>
        <v>tasselli a percussione in polipropilene con chiodo misto in acciaio e nylon</v>
      </c>
      <c r="K18" s="11" t="s">
        <v>51</v>
      </c>
      <c r="L18" s="16" t="str">
        <f ca="1">VLOOKUP(Analisi_Voci!$C$7,CAR_MAT,2,FALSE)</f>
        <v>rete in fibra di vetro alcali resistente (peso circa 160 gr/mq)</v>
      </c>
      <c r="M18" s="11" t="s">
        <v>297</v>
      </c>
      <c r="N18" s="16" t="str">
        <f ca="1">VLOOKUP(Analisi_Voci!$E$7,CAR_MAT,2,FALSE)</f>
        <v>fondo intermedio organico minerale a base di resine stirolo acriliche all'acqua</v>
      </c>
      <c r="O18" s="14" t="s">
        <v>301</v>
      </c>
      <c r="P18" s="14"/>
      <c r="Q18" s="4"/>
      <c r="R18" s="4"/>
      <c r="S1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8" s="11" t="s">
        <v>51</v>
      </c>
      <c r="U1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8" s="16"/>
      <c r="X18" s="11" t="s">
        <v>51</v>
      </c>
      <c r="Y1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8" s="14" t="s">
        <v>456</v>
      </c>
      <c r="AA18" s="85"/>
      <c r="AB18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8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8" s="130" t="s">
        <v>565</v>
      </c>
      <c r="AF18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9" spans="2:32" ht="409.5" x14ac:dyDescent="0.25">
      <c r="B19" s="89" t="str">
        <f ca="1"/>
        <v>ASSEMBLATO LANA DI VETRO GENERICO</v>
      </c>
      <c r="C19" s="14" t="s">
        <v>303</v>
      </c>
      <c r="D19" s="4"/>
      <c r="E19" s="4"/>
      <c r="F19" s="16" t="str">
        <f ca="1">VLOOKUP(Analisi_Voci!$B$7,CAR_MAT,2,FALSE)</f>
        <v>adesivo&amp;rasante minerale ad alte prestazioni</v>
      </c>
      <c r="G19" s="11" t="s">
        <v>297</v>
      </c>
      <c r="H19" s="4" t="str">
        <f>IF(Analisi_Voci!$D$7=Analisi_Voci!$B$7,"",Caratteristiche_materiali!$B$89)</f>
        <v>rasante minerale fibrato</v>
      </c>
      <c r="I19" s="4" t="str">
        <f>IF(Analisi_Voci!$D$7=Analisi_Voci!$B$7,"",", ")</f>
        <v xml:space="preserve">, </v>
      </c>
      <c r="J19" s="16" t="str">
        <f ca="1">VLOOKUP(Analisi_Voci!$C$10,CAR_MAT,2,FALSE)</f>
        <v>tasselli a percussione in polipropilene con chiodo misto in acciaio e nylon</v>
      </c>
      <c r="K19" s="11" t="s">
        <v>51</v>
      </c>
      <c r="L19" s="16" t="str">
        <f ca="1">VLOOKUP(Analisi_Voci!$C$7,CAR_MAT,2,FALSE)</f>
        <v>rete in fibra di vetro alcali resistente (peso circa 160 gr/mq)</v>
      </c>
      <c r="M19" s="11" t="s">
        <v>297</v>
      </c>
      <c r="N19" s="16" t="str">
        <f ca="1">VLOOKUP(Analisi_Voci!$E$7,CAR_MAT,2,FALSE)</f>
        <v>fondo intermedio organico minerale a base di resine stirolo acriliche all'acqua</v>
      </c>
      <c r="O19" s="14" t="s">
        <v>301</v>
      </c>
      <c r="P19" s="14"/>
      <c r="Q19" s="4"/>
      <c r="R19" s="4"/>
      <c r="S1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9" s="11" t="s">
        <v>51</v>
      </c>
      <c r="U1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9" s="16"/>
      <c r="X19" s="11" t="s">
        <v>51</v>
      </c>
      <c r="Y1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9" s="14" t="s">
        <v>456</v>
      </c>
      <c r="AA19" s="85"/>
      <c r="AB19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9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9" s="130" t="s">
        <v>565</v>
      </c>
      <c r="AF19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0" spans="2:32" ht="409.5" x14ac:dyDescent="0.25">
      <c r="B20" s="89" t="str">
        <f ca="1"/>
        <v>ASSEMBLATO AEROGEL GENERICO</v>
      </c>
      <c r="C20" s="14" t="s">
        <v>303</v>
      </c>
      <c r="D20" s="4"/>
      <c r="E20" s="4"/>
      <c r="F20" s="16" t="str">
        <f ca="1">VLOOKUP(Analisi_Voci!$B$7,CAR_MAT,2,FALSE)</f>
        <v>adesivo&amp;rasante minerale ad alte prestazioni</v>
      </c>
      <c r="G20" s="11" t="s">
        <v>297</v>
      </c>
      <c r="H20" s="4" t="str">
        <f>IF(Analisi_Voci!$D$7=Analisi_Voci!$B$7,"",Caratteristiche_materiali!$B$89)</f>
        <v>rasante minerale fibrato</v>
      </c>
      <c r="I20" s="4" t="str">
        <f>IF(Analisi_Voci!$D$7=Analisi_Voci!$B$7,"",", ")</f>
        <v xml:space="preserve">, </v>
      </c>
      <c r="J20" s="16" t="str">
        <f ca="1">VLOOKUP(Analisi_Voci!$C$10,CAR_MAT,2,FALSE)</f>
        <v>tasselli a percussione in polipropilene con chiodo misto in acciaio e nylon</v>
      </c>
      <c r="K20" s="11" t="s">
        <v>51</v>
      </c>
      <c r="L20" s="16" t="str">
        <f ca="1">VLOOKUP(Analisi_Voci!$C$7,CAR_MAT,2,FALSE)</f>
        <v>rete in fibra di vetro alcali resistente (peso circa 160 gr/mq)</v>
      </c>
      <c r="M20" s="11" t="s">
        <v>297</v>
      </c>
      <c r="N20" s="16" t="str">
        <f ca="1">VLOOKUP(Analisi_Voci!$E$7,CAR_MAT,2,FALSE)</f>
        <v>fondo intermedio organico minerale a base di resine stirolo acriliche all'acqua</v>
      </c>
      <c r="O20" s="14" t="s">
        <v>301</v>
      </c>
      <c r="P20" s="14"/>
      <c r="Q20" s="4"/>
      <c r="R20" s="4"/>
      <c r="S2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0" s="11" t="s">
        <v>51</v>
      </c>
      <c r="U2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0" s="16"/>
      <c r="X20" s="11" t="s">
        <v>51</v>
      </c>
      <c r="Y2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0" s="14" t="s">
        <v>456</v>
      </c>
      <c r="AA20" s="85"/>
      <c r="AB20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0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0" s="130" t="s">
        <v>565</v>
      </c>
      <c r="AF20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1" spans="2:32" ht="409.5" x14ac:dyDescent="0.25">
      <c r="B21" s="89" t="str">
        <f ca="1"/>
        <v>ASSEMBLATO FIBRA DI LEGNO GENERICO</v>
      </c>
      <c r="C21" s="14" t="s">
        <v>303</v>
      </c>
      <c r="D21" s="4"/>
      <c r="E21" s="4"/>
      <c r="F21" s="16" t="str">
        <f ca="1">VLOOKUP(Analisi_Voci!$B$7,CAR_MAT,2,FALSE)</f>
        <v>adesivo&amp;rasante minerale ad alte prestazioni</v>
      </c>
      <c r="G21" s="11" t="s">
        <v>297</v>
      </c>
      <c r="H21" s="4" t="str">
        <f>IF(Analisi_Voci!$D$7=Analisi_Voci!$B$7,"",Caratteristiche_materiali!$B$89)</f>
        <v>rasante minerale fibrato</v>
      </c>
      <c r="I21" s="4" t="str">
        <f>IF(Analisi_Voci!$D$7=Analisi_Voci!$B$7,"",", ")</f>
        <v xml:space="preserve">, </v>
      </c>
      <c r="J21" s="16" t="str">
        <f ca="1">VLOOKUP(Analisi_Voci!$C$10,CAR_MAT,2,FALSE)</f>
        <v>tasselli a percussione in polipropilene con chiodo misto in acciaio e nylon</v>
      </c>
      <c r="K21" s="11" t="s">
        <v>51</v>
      </c>
      <c r="L21" s="16" t="str">
        <f ca="1">VLOOKUP(Analisi_Voci!$C$7,CAR_MAT,2,FALSE)</f>
        <v>rete in fibra di vetro alcali resistente (peso circa 160 gr/mq)</v>
      </c>
      <c r="M21" s="11" t="s">
        <v>297</v>
      </c>
      <c r="N21" s="16" t="str">
        <f ca="1">VLOOKUP(Analisi_Voci!$E$7,CAR_MAT,2,FALSE)</f>
        <v>fondo intermedio organico minerale a base di resine stirolo acriliche all'acqua</v>
      </c>
      <c r="O21" s="14" t="s">
        <v>301</v>
      </c>
      <c r="P21" s="14"/>
      <c r="Q21" s="4"/>
      <c r="R21" s="4"/>
      <c r="S2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1" s="11" t="s">
        <v>51</v>
      </c>
      <c r="U2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1" s="16"/>
      <c r="X21" s="11" t="s">
        <v>51</v>
      </c>
      <c r="Y2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1" s="14" t="s">
        <v>456</v>
      </c>
      <c r="AA21" s="85"/>
      <c r="AB21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1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1" s="130" t="s">
        <v>565</v>
      </c>
      <c r="AF21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2" spans="2:32" ht="409.6" thickBot="1" x14ac:dyDescent="0.3">
      <c r="B22" s="90" t="str">
        <f ca="1"/>
        <v>ASSEMBLATO SUGHERO GENERICO</v>
      </c>
      <c r="C22" s="14" t="s">
        <v>303</v>
      </c>
      <c r="D22" s="58"/>
      <c r="E22" s="4"/>
      <c r="F22" s="16" t="str">
        <f ca="1">VLOOKUP(Analisi_Voci!$B$7,CAR_MAT,2,FALSE)</f>
        <v>adesivo&amp;rasante minerale ad alte prestazioni</v>
      </c>
      <c r="G22" s="11" t="s">
        <v>297</v>
      </c>
      <c r="H22" s="4" t="str">
        <f>IF(Analisi_Voci!$D$7=Analisi_Voci!$B$7,"",Caratteristiche_materiali!$B$89)</f>
        <v>rasante minerale fibrato</v>
      </c>
      <c r="I22" s="4" t="str">
        <f>IF(Analisi_Voci!$D$7=Analisi_Voci!$B$7,"",", ")</f>
        <v xml:space="preserve">, </v>
      </c>
      <c r="J22" s="16" t="str">
        <f ca="1">VLOOKUP(Analisi_Voci!$C$10,CAR_MAT,2,FALSE)</f>
        <v>tasselli a percussione in polipropilene con chiodo misto in acciaio e nylon</v>
      </c>
      <c r="K22" s="11" t="s">
        <v>51</v>
      </c>
      <c r="L22" s="16" t="str">
        <f ca="1">VLOOKUP(Analisi_Voci!$C$7,CAR_MAT,2,FALSE)</f>
        <v>rete in fibra di vetro alcali resistente (peso circa 160 gr/mq)</v>
      </c>
      <c r="M22" s="11" t="s">
        <v>297</v>
      </c>
      <c r="N22" s="16" t="str">
        <f ca="1">VLOOKUP(Analisi_Voci!$E$7,CAR_MAT,2,FALSE)</f>
        <v>fondo intermedio organico minerale a base di resine stirolo acriliche all'acqua</v>
      </c>
      <c r="O22" s="14" t="s">
        <v>301</v>
      </c>
      <c r="P22" s="132"/>
      <c r="Q22" s="58"/>
      <c r="R22" s="58"/>
      <c r="S2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2" s="11" t="s">
        <v>51</v>
      </c>
      <c r="U2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2" s="16"/>
      <c r="X22" s="11" t="s">
        <v>51</v>
      </c>
      <c r="Y2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2" s="14" t="s">
        <v>456</v>
      </c>
      <c r="AA22" s="86"/>
      <c r="AB22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2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2" s="130" t="s">
        <v>565</v>
      </c>
      <c r="AF22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3" spans="2:32" ht="363" thickBot="1" x14ac:dyDescent="0.3">
      <c r="B23" s="113" t="str">
        <f ca="1"/>
        <v xml:space="preserve">ECO DUR ZETA </v>
      </c>
      <c r="C23" s="110" t="s">
        <v>535</v>
      </c>
      <c r="D23" s="16" t="str">
        <f>Caratteristiche_materiali!B88</f>
        <v>pannello isolante in polistirene espanso sinterizzato (EPS) arancione chiaro stampato a celle chiuse ad elevata densità marcato CE secondo EN 13163 a specifico uso ETICS</v>
      </c>
      <c r="E23" s="11" t="s">
        <v>297</v>
      </c>
      <c r="F23" s="16" t="str">
        <f ca="1">VLOOKUP(Analisi_Voci!$B$7,CAR_MAT,2,FALSE)</f>
        <v>adesivo&amp;rasante minerale ad alte prestazioni</v>
      </c>
      <c r="G23" s="11" t="s">
        <v>297</v>
      </c>
      <c r="H23" s="4" t="str">
        <f>IF(Analisi_Voci!$D$7=Analisi_Voci!$B$7,"",Caratteristiche_materiali!$B$89)</f>
        <v>rasante minerale fibrato</v>
      </c>
      <c r="I23" s="4" t="str">
        <f>IF(Analisi_Voci!$D$7=Analisi_Voci!$B$7,"",", ")</f>
        <v xml:space="preserve">, </v>
      </c>
      <c r="J23" s="16" t="str">
        <f ca="1">VLOOKUP(Analisi_Voci!$C$10,CAR_MAT,2,FALSE)</f>
        <v>tasselli a percussione in polipropilene con chiodo misto in acciaio e nylon</v>
      </c>
      <c r="K23" s="11" t="s">
        <v>51</v>
      </c>
      <c r="L23" s="16" t="str">
        <f ca="1">VLOOKUP(Analisi_Voci!$C$7,CAR_MAT,2,FALSE)</f>
        <v>rete in fibra di vetro alcali resistente (peso circa 160 gr/mq)</v>
      </c>
      <c r="M23" s="11" t="s">
        <v>297</v>
      </c>
      <c r="N23" s="16" t="str">
        <f ca="1">VLOOKUP(Analisi_Voci!$E$7,CAR_MAT,2,FALSE)</f>
        <v>fondo intermedio organico minerale a base di resine stirolo acriliche all'acqua</v>
      </c>
      <c r="O23" s="14" t="s">
        <v>301</v>
      </c>
      <c r="P23" s="14"/>
      <c r="Q23" s="16" t="str">
        <f ca="1">VLOOKUP(_xlfn.CONCAT("Eco Dur Zeta"," ",Analisi_Voci!$A$7),CAR_MAT,3,FALSE)</f>
        <v>Il pannello ha le seguenti caratteristiche: dimensioni 1000x500 mm, spessore 100 mm, classe di reazione al fuoco E secondo EN 13501-1 e conducibilità termica dichiarata λD pari a 0,033 W/mK.</v>
      </c>
      <c r="R23" s="11" t="s">
        <v>51</v>
      </c>
      <c r="S2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3" s="11" t="s">
        <v>51</v>
      </c>
      <c r="U2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3" s="16"/>
      <c r="X23" s="11" t="s">
        <v>51</v>
      </c>
      <c r="Y2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3" s="14" t="s">
        <v>455</v>
      </c>
      <c r="AB23" s="87" t="str">
        <f t="shared" ca="1" si="0"/>
        <v>Fornitura e posa in opera di sistema di isolamento di zoccolature fuori terra e isolamento perimetrale contro terra realizzato con l'impiego di pannello isolante in polistirene espanso sinterizzato (EPS) arancione chiaro stampato a celle chiuse ad elevata densità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0,033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E23" s="105" t="s">
        <v>563</v>
      </c>
      <c r="AF23" s="8" t="str">
        <f t="shared" si="2"/>
        <v xml:space="preserve">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317FE-DA71-43E2-BD03-08F5FACEDB5D}">
  <sheetPr codeName="Foglio5"/>
  <dimension ref="A1:AO99"/>
  <sheetViews>
    <sheetView zoomScale="90" zoomScaleNormal="90" workbookViewId="0">
      <selection activeCell="B3" sqref="B3:B22"/>
    </sheetView>
  </sheetViews>
  <sheetFormatPr defaultRowHeight="12.5" x14ac:dyDescent="0.25"/>
  <cols>
    <col min="1" max="1" width="4" customWidth="1"/>
    <col min="2" max="2" width="40.26953125" bestFit="1" customWidth="1"/>
    <col min="3" max="3" width="21.1796875" bestFit="1" customWidth="1"/>
    <col min="4" max="4" width="17.90625" bestFit="1" customWidth="1"/>
    <col min="5" max="5" width="23.1796875" bestFit="1" customWidth="1"/>
    <col min="6" max="6" width="20.08984375" bestFit="1" customWidth="1"/>
    <col min="7" max="7" width="22.26953125" bestFit="1" customWidth="1"/>
    <col min="8" max="8" width="24.08984375" bestFit="1" customWidth="1"/>
    <col min="9" max="9" width="22.81640625" bestFit="1" customWidth="1"/>
    <col min="10" max="10" width="17.54296875" customWidth="1"/>
    <col min="11" max="12" width="15.6328125" customWidth="1"/>
    <col min="13" max="13" width="1.26953125" customWidth="1"/>
    <col min="14" max="14" width="19.6328125" customWidth="1"/>
    <col min="15" max="15" width="13.453125" customWidth="1"/>
    <col min="16" max="16" width="16.81640625" customWidth="1"/>
    <col min="17" max="17" width="15.81640625" customWidth="1"/>
    <col min="18" max="18" width="15.453125" customWidth="1"/>
    <col min="19" max="23" width="19.81640625" customWidth="1"/>
    <col min="24" max="24" width="27" customWidth="1"/>
    <col min="25" max="25" width="31.54296875" bestFit="1" customWidth="1"/>
    <col min="26" max="26" width="25" bestFit="1" customWidth="1"/>
    <col min="27" max="27" width="27" bestFit="1" customWidth="1"/>
    <col min="28" max="28" width="36.08984375" bestFit="1" customWidth="1"/>
    <col min="29" max="29" width="19.08984375" customWidth="1"/>
    <col min="30" max="30" width="18.36328125" bestFit="1" customWidth="1"/>
    <col min="31" max="31" width="36.08984375" bestFit="1" customWidth="1"/>
    <col min="32" max="32" width="21.36328125" customWidth="1"/>
    <col min="33" max="33" width="21.08984375" customWidth="1"/>
    <col min="34" max="34" width="22.08984375" customWidth="1"/>
    <col min="35" max="35" width="24.1796875" customWidth="1"/>
    <col min="36" max="36" width="25.1796875" customWidth="1"/>
    <col min="37" max="37" width="12.1796875" customWidth="1"/>
  </cols>
  <sheetData>
    <row r="1" spans="1:41" ht="13.5" thickBot="1" x14ac:dyDescent="0.35">
      <c r="X1" s="1" t="s">
        <v>54</v>
      </c>
    </row>
    <row r="2" spans="1:41" ht="13" x14ac:dyDescent="0.3">
      <c r="B2" s="33" t="s">
        <v>19</v>
      </c>
      <c r="C2" s="34" t="s">
        <v>21</v>
      </c>
      <c r="D2" s="34" t="s">
        <v>22</v>
      </c>
      <c r="E2" s="34" t="s">
        <v>23</v>
      </c>
      <c r="F2" s="34" t="s">
        <v>24</v>
      </c>
      <c r="G2" s="34" t="s">
        <v>25</v>
      </c>
      <c r="H2" s="34" t="s">
        <v>26</v>
      </c>
      <c r="I2" s="34" t="s">
        <v>27</v>
      </c>
      <c r="J2" s="34" t="s">
        <v>28</v>
      </c>
      <c r="K2" s="35" t="s">
        <v>50</v>
      </c>
      <c r="L2" s="34" t="s">
        <v>188</v>
      </c>
      <c r="M2" s="33"/>
      <c r="N2" s="44" t="s">
        <v>125</v>
      </c>
      <c r="O2" s="44" t="s">
        <v>127</v>
      </c>
      <c r="P2" s="44" t="s">
        <v>135</v>
      </c>
      <c r="Q2" s="44" t="s">
        <v>67</v>
      </c>
      <c r="R2" s="1" t="s">
        <v>570</v>
      </c>
      <c r="S2" s="44" t="s">
        <v>69</v>
      </c>
      <c r="T2" s="44" t="s">
        <v>186</v>
      </c>
      <c r="U2" s="44" t="s">
        <v>190</v>
      </c>
      <c r="V2" s="44" t="s">
        <v>187</v>
      </c>
      <c r="W2" s="44" t="s">
        <v>226</v>
      </c>
      <c r="X2" s="81" t="s">
        <v>64</v>
      </c>
      <c r="Y2" s="60" t="s">
        <v>65</v>
      </c>
      <c r="Z2" s="24" t="s">
        <v>67</v>
      </c>
      <c r="AA2" s="24" t="s">
        <v>568</v>
      </c>
      <c r="AB2" s="25" t="s">
        <v>69</v>
      </c>
      <c r="AC2" s="25" t="s">
        <v>70</v>
      </c>
      <c r="AD2" s="25" t="s">
        <v>190</v>
      </c>
      <c r="AE2" s="25" t="s">
        <v>187</v>
      </c>
      <c r="AF2" s="24" t="s">
        <v>226</v>
      </c>
      <c r="AG2" s="25" t="s">
        <v>299</v>
      </c>
      <c r="AH2" s="25"/>
      <c r="AI2" s="25"/>
      <c r="AJ2" s="25"/>
      <c r="AK2" s="26"/>
    </row>
    <row r="3" spans="1:41" ht="13" x14ac:dyDescent="0.3">
      <c r="A3" s="2" t="s">
        <v>578</v>
      </c>
      <c r="B3" s="37" t="str">
        <f>Titolo_descrizione!B3</f>
        <v>KLIMAEXPERT ETA EPS AIR</v>
      </c>
      <c r="C3" s="10" t="s">
        <v>64</v>
      </c>
      <c r="D3" s="10" t="s">
        <v>571</v>
      </c>
      <c r="E3" s="10" t="s">
        <v>66</v>
      </c>
      <c r="F3" s="10" t="s">
        <v>68</v>
      </c>
      <c r="G3" s="10" t="s">
        <v>70</v>
      </c>
      <c r="H3" s="10" t="s">
        <v>71</v>
      </c>
      <c r="I3" s="10" t="s">
        <v>189</v>
      </c>
      <c r="J3" s="10" t="s">
        <v>73</v>
      </c>
      <c r="K3" s="10" t="s">
        <v>74</v>
      </c>
      <c r="L3" s="10" t="s">
        <v>97</v>
      </c>
      <c r="M3" s="10"/>
      <c r="N3" s="53" t="s">
        <v>108</v>
      </c>
      <c r="O3" s="12" t="s">
        <v>128</v>
      </c>
      <c r="P3" s="12" t="s">
        <v>136</v>
      </c>
      <c r="Q3" s="12" t="s">
        <v>151</v>
      </c>
      <c r="R3" s="12" t="s">
        <v>569</v>
      </c>
      <c r="S3" s="12" t="s">
        <v>157</v>
      </c>
      <c r="T3" s="12" t="str">
        <f>IF(Analisi_Voci!$E$7=F_1,"I_1",IF(Analisi_Voci!$E$7=Var_voce!$Z$63,"I_2",IF(Analisi_Voci!$E$7=Var_voce!$Z$65,"I_3","Nessuno")))</f>
        <v>I_1</v>
      </c>
      <c r="U3" s="12" t="str">
        <f>IF(Analisi_Voci!$F$7=Var_voce!$Y$63,"G_2","G_1")</f>
        <v>G_1</v>
      </c>
      <c r="V3" s="12" t="str">
        <f>IF(Analisi_Voci!$F$7=Var_voce!$Y$63,"C_2",IF(Analisi_Voci!$F$7=I_2,"C_2","C_1"))</f>
        <v>C_1</v>
      </c>
      <c r="W3" s="12" t="s">
        <v>192</v>
      </c>
      <c r="X3" s="82" t="str" cm="1">
        <f t="array" aca="1" ref="X3:X11" ca="1">IFERROR(INDIRECT(VLOOKUP(Analisi_Voci!B1,B3:O25,14,FALSE)),"Nessuno")</f>
        <v>50 mm</v>
      </c>
      <c r="Y3" s="72" t="str" cm="1">
        <f t="array" aca="1" ref="Y3:Y6" ca="1">INDIRECT(VLOOKUP(Analisi_Voci!B1,B3:P25,15,FALSE))</f>
        <v>Klima Light Calce</v>
      </c>
      <c r="Z3" s="19" t="str" cm="1">
        <f t="array" aca="1" ref="Z3:Z4" ca="1">INDIRECT(VLOOKUP(Analisi_Voci!B1,B3:V27,16,FALSE))</f>
        <v>Rinforzo V50</v>
      </c>
      <c r="AA3" s="19" t="str" cm="1">
        <f t="array" aca="1" ref="AA3:AA6" ca="1">INDIRECT(VLOOKUP(Analisi_Voci!B1,B3:V27,17,FALSE))</f>
        <v>Klima Light Calce</v>
      </c>
      <c r="AB3" s="19" t="str" cm="1">
        <f t="array" aca="1" ref="AB3:AB5" ca="1">INDIRECT(VLOOKUP(Analisi_Voci!$B$1,$B$3:$V$27,18,FALSE))</f>
        <v>Kerakover Silox Fondo</v>
      </c>
      <c r="AC3" s="19" t="str" cm="1">
        <f t="array" aca="1" ref="AC3:AC4" ca="1">IFERROR(INDIRECT(VLOOKUP(Analisi_Voci!$B$1,$B$3:$V$27,19,FALSE)),"Nessuno")</f>
        <v>Kerakover Kompact New</v>
      </c>
      <c r="AD3" s="19" t="str" cm="1">
        <f t="array" aca="1" ref="AD3:AD5" ca="1">IFERROR(INDIRECT(VLOOKUP(Analisi_Voci!$B$1,$B$3:$V$27,20,FALSE)),"Nessuno")</f>
        <v>1.0</v>
      </c>
      <c r="AE3" s="19" t="str" cm="1">
        <f t="array" aca="1" ref="AE3:AE6" ca="1">IFERROR(INDIRECT(VLOOKUP(Analisi_Voci!$B$1,$B$3:$V$27,21,FALSE)),"Nessuno")</f>
        <v>Bianco</v>
      </c>
      <c r="AF3" s="19" t="str" cm="1">
        <f t="array" aca="1" ref="AF3:AF8" ca="1">IFERROR(INDIRECT(VLOOKUP(Analisi_Voci!$B$1,$B$3:$W$27,22,FALSE)),"Nessuno")</f>
        <v>Tassello Avvitabile Acciaio</v>
      </c>
      <c r="AG3" s="23" t="str" cm="1">
        <f t="array" aca="1" ref="AG3:AG13" ca="1">INDIRECT(AE17)</f>
        <v>110/70</v>
      </c>
      <c r="AH3" s="20"/>
      <c r="AI3" s="20"/>
      <c r="AJ3" s="20"/>
      <c r="AK3" s="27"/>
      <c r="AO3" s="2" t="s">
        <v>578</v>
      </c>
    </row>
    <row r="4" spans="1:41" ht="13" x14ac:dyDescent="0.3">
      <c r="A4" s="2" t="s">
        <v>578</v>
      </c>
      <c r="B4" s="37" t="str">
        <f>Titolo_descrizione!B4</f>
        <v>KLIMAEXPERT ETA EPS AIR BLACK</v>
      </c>
      <c r="C4" s="10" t="s">
        <v>64</v>
      </c>
      <c r="D4" s="10" t="s">
        <v>571</v>
      </c>
      <c r="E4" s="13" t="s">
        <v>66</v>
      </c>
      <c r="F4" s="13" t="s">
        <v>68</v>
      </c>
      <c r="G4" s="13" t="s">
        <v>70</v>
      </c>
      <c r="H4" s="13" t="s">
        <v>71</v>
      </c>
      <c r="I4" s="10" t="s">
        <v>189</v>
      </c>
      <c r="J4" s="10" t="s">
        <v>73</v>
      </c>
      <c r="K4" s="13" t="s">
        <v>74</v>
      </c>
      <c r="L4" s="10" t="s">
        <v>97</v>
      </c>
      <c r="M4" s="10"/>
      <c r="N4" s="53" t="s">
        <v>120</v>
      </c>
      <c r="O4" s="12" t="s">
        <v>129</v>
      </c>
      <c r="P4" s="12" t="s">
        <v>136</v>
      </c>
      <c r="Q4" s="12" t="s">
        <v>151</v>
      </c>
      <c r="R4" s="12" t="s">
        <v>569</v>
      </c>
      <c r="S4" s="12" t="s">
        <v>157</v>
      </c>
      <c r="T4" s="12" t="str">
        <f>IF(Analisi_Voci!$E$7=F_1,"I_1",IF(Analisi_Voci!$E$7=Var_voce!$Z$63,"I_2",IF(Analisi_Voci!$E$7=Var_voce!$Z$65,"I_3","Nessuno")))</f>
        <v>I_1</v>
      </c>
      <c r="U4" s="12" t="str">
        <f>IF(Analisi_Voci!$F$7=Var_voce!$Y$63,"G_2","G_1")</f>
        <v>G_1</v>
      </c>
      <c r="V4" s="12" t="str">
        <f>IF(Analisi_Voci!$F$7=Var_voce!$Y$63,"C_2",IF(Analisi_Voci!$F$7=I_2,"C_2","C_1"))</f>
        <v>C_1</v>
      </c>
      <c r="W4" s="12" t="s">
        <v>192</v>
      </c>
      <c r="X4" s="82" t="str">
        <f ca="1"/>
        <v>60 mm</v>
      </c>
      <c r="Y4" s="72" t="str">
        <f ca="1"/>
        <v>Keraklima Eco Granello</v>
      </c>
      <c r="Z4" s="19" t="str">
        <f ca="1"/>
        <v>Rinforzo V40</v>
      </c>
      <c r="AA4" s="19" t="str">
        <f ca="1"/>
        <v>Keraklima Eco Granello</v>
      </c>
      <c r="AB4" s="19" t="str">
        <f ca="1"/>
        <v>Kerakover Acrilex Fondo</v>
      </c>
      <c r="AC4" s="19" t="str">
        <f ca="1"/>
        <v>Kerakover Acrilex Finish</v>
      </c>
      <c r="AD4" s="19" t="str">
        <f ca="1"/>
        <v>1.2</v>
      </c>
      <c r="AE4" s="19" t="str">
        <f ca="1"/>
        <v>Colorato B</v>
      </c>
      <c r="AF4" s="19" t="str">
        <f ca="1"/>
        <v>Tassello a percussione Acciaio/Nylon</v>
      </c>
      <c r="AG4" s="23" t="str">
        <f ca="1"/>
        <v>130/90</v>
      </c>
      <c r="AH4" s="20"/>
      <c r="AI4" s="20"/>
      <c r="AJ4" s="20"/>
      <c r="AK4" s="27"/>
      <c r="AO4" s="2" t="s">
        <v>578</v>
      </c>
    </row>
    <row r="5" spans="1:41" ht="13" x14ac:dyDescent="0.3">
      <c r="A5" s="2" t="s">
        <v>578</v>
      </c>
      <c r="B5" s="37" t="str">
        <f>Titolo_descrizione!B5</f>
        <v>KLIMAEXPERT ETA EPS AIRPLUS</v>
      </c>
      <c r="C5" s="10" t="s">
        <v>64</v>
      </c>
      <c r="D5" s="10" t="s">
        <v>571</v>
      </c>
      <c r="E5" s="13" t="s">
        <v>66</v>
      </c>
      <c r="F5" s="13" t="s">
        <v>68</v>
      </c>
      <c r="G5" s="13" t="s">
        <v>70</v>
      </c>
      <c r="H5" s="13" t="s">
        <v>71</v>
      </c>
      <c r="I5" s="10" t="s">
        <v>189</v>
      </c>
      <c r="J5" s="10" t="s">
        <v>73</v>
      </c>
      <c r="K5" s="13" t="s">
        <v>74</v>
      </c>
      <c r="L5" s="10" t="s">
        <v>97</v>
      </c>
      <c r="M5" s="51"/>
      <c r="N5" s="53" t="s">
        <v>122</v>
      </c>
      <c r="O5" s="12" t="s">
        <v>134</v>
      </c>
      <c r="P5" s="12" t="s">
        <v>136</v>
      </c>
      <c r="Q5" s="12" t="s">
        <v>151</v>
      </c>
      <c r="R5" s="12" t="s">
        <v>569</v>
      </c>
      <c r="S5" s="12" t="s">
        <v>157</v>
      </c>
      <c r="T5" s="12" t="str">
        <f>IF(Analisi_Voci!$E$7=F_1,"I_1",IF(Analisi_Voci!$E$7=Var_voce!$Z$63,"I_2",IF(Analisi_Voci!$E$7=Var_voce!$Z$65,"I_3","Nessuno")))</f>
        <v>I_1</v>
      </c>
      <c r="U5" s="12" t="str">
        <f>IF(Analisi_Voci!$F$7=Var_voce!$Y$63,"G_2","G_1")</f>
        <v>G_1</v>
      </c>
      <c r="V5" s="12" t="str">
        <f>IF(Analisi_Voci!$F$7=Var_voce!$Y$63,"C_2",IF(Analisi_Voci!$F$7=I_2,"C_2","C_1"))</f>
        <v>C_1</v>
      </c>
      <c r="W5" s="12" t="s">
        <v>192</v>
      </c>
      <c r="X5" s="83" t="str">
        <f ca="1"/>
        <v>80 mm</v>
      </c>
      <c r="Y5" s="20" t="str">
        <f ca="1"/>
        <v>Klima Fix Bianco</v>
      </c>
      <c r="Z5" s="19"/>
      <c r="AA5" s="19" t="str">
        <f ca="1"/>
        <v>Klima Fix Bianco</v>
      </c>
      <c r="AB5" s="19" t="str">
        <f ca="1"/>
        <v xml:space="preserve">Biocalce Silicato Fondo </v>
      </c>
      <c r="AC5" s="19"/>
      <c r="AD5" s="20" t="str">
        <f ca="1"/>
        <v>1.5</v>
      </c>
      <c r="AE5" s="20" t="str">
        <f ca="1"/>
        <v>Colorato A</v>
      </c>
      <c r="AF5" s="20" t="str">
        <f ca="1"/>
        <v>Tassello a percussione Nylon</v>
      </c>
      <c r="AG5" s="23" t="str">
        <f ca="1"/>
        <v>150/110</v>
      </c>
      <c r="AH5" s="20"/>
      <c r="AI5" s="20"/>
      <c r="AJ5" s="20"/>
      <c r="AK5" s="28"/>
      <c r="AO5" s="2" t="s">
        <v>578</v>
      </c>
    </row>
    <row r="6" spans="1:41" ht="13" x14ac:dyDescent="0.3">
      <c r="A6" s="2" t="s">
        <v>578</v>
      </c>
      <c r="B6" s="37" t="str">
        <f>Titolo_descrizione!B6</f>
        <v>KLIMAEXPERT ETA EPS AIRTECH</v>
      </c>
      <c r="C6" s="10" t="s">
        <v>64</v>
      </c>
      <c r="D6" s="10" t="s">
        <v>571</v>
      </c>
      <c r="E6" s="13" t="s">
        <v>66</v>
      </c>
      <c r="F6" s="13" t="s">
        <v>68</v>
      </c>
      <c r="G6" s="13" t="s">
        <v>70</v>
      </c>
      <c r="H6" s="13" t="s">
        <v>71</v>
      </c>
      <c r="I6" s="10" t="s">
        <v>189</v>
      </c>
      <c r="J6" s="10"/>
      <c r="K6" s="13"/>
      <c r="L6" s="10"/>
      <c r="M6" s="51"/>
      <c r="N6" s="12" t="s">
        <v>126</v>
      </c>
      <c r="O6" s="12" t="s">
        <v>130</v>
      </c>
      <c r="P6" s="12" t="s">
        <v>138</v>
      </c>
      <c r="Q6" s="12" t="s">
        <v>151</v>
      </c>
      <c r="R6" s="12" t="s">
        <v>581</v>
      </c>
      <c r="S6" s="12" t="s">
        <v>157</v>
      </c>
      <c r="T6" s="12" t="str">
        <f>IF(Analisi_Voci!$E$7=F_1,"I_1",IF(Analisi_Voci!$E$7=Var_voce!$Z$63,"I_2",IF(Analisi_Voci!$E$7=Var_voce!$Z$65,"I_3","Nessuno")))</f>
        <v>I_1</v>
      </c>
      <c r="U6" s="12" t="str">
        <f>IF(Analisi_Voci!$F$7=Var_voce!$Y$63,"G_2","G_1")</f>
        <v>G_1</v>
      </c>
      <c r="V6" s="12" t="str">
        <f>IF(Analisi_Voci!$F$7=Var_voce!$Y$63,"C_2",IF(Analisi_Voci!$F$7=I_2,"C_2","C_1"))</f>
        <v>C_1</v>
      </c>
      <c r="W6" s="12"/>
      <c r="X6" s="83" t="str">
        <f ca="1"/>
        <v>100 mm</v>
      </c>
      <c r="Y6" s="72" t="str">
        <f ca="1"/>
        <v>Klima Fix Grigio</v>
      </c>
      <c r="Z6" s="19"/>
      <c r="AA6" s="19" t="str">
        <f ca="1"/>
        <v>Klima Fix Grigio</v>
      </c>
      <c r="AB6" s="19"/>
      <c r="AC6" s="20"/>
      <c r="AD6" s="20"/>
      <c r="AE6" s="20" t="str">
        <f ca="1"/>
        <v>Colorato AA</v>
      </c>
      <c r="AF6" s="20" t="str">
        <f ca="1"/>
        <v>Tassello a scomparsa EcoTwist</v>
      </c>
      <c r="AG6" s="21" t="str">
        <f ca="1"/>
        <v>170/130</v>
      </c>
      <c r="AH6" s="20"/>
      <c r="AI6" s="20"/>
      <c r="AJ6" s="20"/>
      <c r="AK6" s="28"/>
      <c r="AO6" s="2" t="s">
        <v>578</v>
      </c>
    </row>
    <row r="7" spans="1:41" ht="13" x14ac:dyDescent="0.3">
      <c r="A7" s="2" t="s">
        <v>578</v>
      </c>
      <c r="B7" s="37" t="str">
        <f>Titolo_descrizione!B7</f>
        <v>KLIMAEXPERT ETA MW AIRWOOL</v>
      </c>
      <c r="C7" s="10" t="s">
        <v>64</v>
      </c>
      <c r="D7" s="10" t="s">
        <v>571</v>
      </c>
      <c r="E7" s="13" t="s">
        <v>66</v>
      </c>
      <c r="F7" s="13" t="s">
        <v>68</v>
      </c>
      <c r="G7" s="13" t="s">
        <v>70</v>
      </c>
      <c r="H7" s="13" t="s">
        <v>71</v>
      </c>
      <c r="I7" s="10" t="s">
        <v>189</v>
      </c>
      <c r="J7" s="10" t="s">
        <v>73</v>
      </c>
      <c r="K7" s="13" t="s">
        <v>74</v>
      </c>
      <c r="L7" s="10" t="s">
        <v>97</v>
      </c>
      <c r="M7" s="51"/>
      <c r="N7" s="12" t="s">
        <v>123</v>
      </c>
      <c r="O7" s="12" t="s">
        <v>131</v>
      </c>
      <c r="P7" s="12" t="s">
        <v>139</v>
      </c>
      <c r="Q7" s="12" t="s">
        <v>151</v>
      </c>
      <c r="R7" s="12" t="s">
        <v>582</v>
      </c>
      <c r="S7" s="12" t="s">
        <v>158</v>
      </c>
      <c r="T7" s="12" t="str">
        <f>IF(Analisi_Voci!$E$7=F_1,"I_1",IF(Analisi_Voci!$E$7=Var_voce!$Z$63,"I_2",IF(Analisi_Voci!$E$7=Var_voce!$Z$65,"I_3","Nessuno")))</f>
        <v>I_1</v>
      </c>
      <c r="U7" s="12" t="str">
        <f>IF(Analisi_Voci!$F$7=Var_voce!$Y$63,"G_2","G_1")</f>
        <v>G_1</v>
      </c>
      <c r="V7" s="12" t="str">
        <f>IF(Analisi_Voci!$F$7=Var_voce!$Y$63,"C_2",IF(Analisi_Voci!$F$7=I_2,"C_2","C_1"))</f>
        <v>C_1</v>
      </c>
      <c r="W7" s="12" t="s">
        <v>192</v>
      </c>
      <c r="X7" s="83" t="str">
        <f ca="1"/>
        <v>120 mm</v>
      </c>
      <c r="Y7" s="72"/>
      <c r="Z7" s="19"/>
      <c r="AA7" s="19"/>
      <c r="AB7" s="20"/>
      <c r="AC7" s="20"/>
      <c r="AD7" s="20"/>
      <c r="AE7" s="20"/>
      <c r="AF7" s="20" t="str">
        <f ca="1"/>
        <v>Tassello SGR a percussione Acciaio/Nylon</v>
      </c>
      <c r="AG7" s="21" t="str">
        <f ca="1"/>
        <v>190/150</v>
      </c>
      <c r="AH7" s="20"/>
      <c r="AI7" s="21"/>
      <c r="AJ7" s="21"/>
      <c r="AK7" s="28"/>
      <c r="AO7" s="2" t="s">
        <v>578</v>
      </c>
    </row>
    <row r="8" spans="1:41" ht="13" x14ac:dyDescent="0.3">
      <c r="A8" s="2" t="s">
        <v>578</v>
      </c>
      <c r="B8" s="37" t="str">
        <f>Titolo_descrizione!B8</f>
        <v>KLIMAEXPERT ETA MW AIRWOOL PLUS</v>
      </c>
      <c r="C8" s="10" t="s">
        <v>64</v>
      </c>
      <c r="D8" s="10" t="s">
        <v>571</v>
      </c>
      <c r="E8" s="13" t="s">
        <v>66</v>
      </c>
      <c r="F8" s="13" t="s">
        <v>68</v>
      </c>
      <c r="G8" s="13" t="s">
        <v>70</v>
      </c>
      <c r="H8" s="13" t="s">
        <v>71</v>
      </c>
      <c r="I8" s="10" t="s">
        <v>189</v>
      </c>
      <c r="J8" s="10" t="s">
        <v>73</v>
      </c>
      <c r="K8" s="13" t="s">
        <v>74</v>
      </c>
      <c r="L8" s="10" t="s">
        <v>97</v>
      </c>
      <c r="M8" s="51"/>
      <c r="N8" s="12" t="s">
        <v>124</v>
      </c>
      <c r="O8" s="12" t="s">
        <v>132</v>
      </c>
      <c r="P8" s="12" t="s">
        <v>139</v>
      </c>
      <c r="Q8" s="12" t="s">
        <v>151</v>
      </c>
      <c r="R8" s="12" t="s">
        <v>582</v>
      </c>
      <c r="S8" s="12" t="s">
        <v>158</v>
      </c>
      <c r="T8" s="12" t="str">
        <f>IF(Analisi_Voci!$E$7=F_1,"I_1",IF(Analisi_Voci!$E$7=Var_voce!$Z$63,"I_2",IF(Analisi_Voci!$E$7=Var_voce!$Z$65,"I_3","Nessuno")))</f>
        <v>I_1</v>
      </c>
      <c r="U8" s="12" t="str">
        <f>IF(Analisi_Voci!$F$7=Var_voce!$Y$63,"G_2","G_1")</f>
        <v>G_1</v>
      </c>
      <c r="V8" s="12" t="str">
        <f>IF(Analisi_Voci!$F$7=Var_voce!$Y$63,"C_2",IF(Analisi_Voci!$F$7=I_2,"C_2","C_1"))</f>
        <v>C_1</v>
      </c>
      <c r="W8" s="12" t="s">
        <v>192</v>
      </c>
      <c r="X8" s="83" t="str">
        <f ca="1"/>
        <v>140 mm</v>
      </c>
      <c r="Y8" s="20"/>
      <c r="Z8" s="19"/>
      <c r="AA8" s="19"/>
      <c r="AB8" s="20"/>
      <c r="AC8" s="20"/>
      <c r="AD8" s="20"/>
      <c r="AE8" s="20"/>
      <c r="AF8" s="20" t="str">
        <f ca="1"/>
        <v>Tassello SGR a percussione Nylon</v>
      </c>
      <c r="AG8" s="21" t="str">
        <f ca="1"/>
        <v>210/170</v>
      </c>
      <c r="AH8" s="20"/>
      <c r="AI8" s="21"/>
      <c r="AJ8" s="21"/>
      <c r="AK8" s="28"/>
      <c r="AO8" s="2" t="s">
        <v>578</v>
      </c>
    </row>
    <row r="9" spans="1:41" ht="13" x14ac:dyDescent="0.3">
      <c r="A9" s="2" t="s">
        <v>578</v>
      </c>
      <c r="B9" s="37" t="str">
        <f>Titolo_descrizione!B9</f>
        <v>ASSEMBLATO EPS KLIMA AIR</v>
      </c>
      <c r="C9" s="10" t="s">
        <v>64</v>
      </c>
      <c r="D9" s="10" t="s">
        <v>571</v>
      </c>
      <c r="E9" s="13" t="s">
        <v>66</v>
      </c>
      <c r="F9" s="13" t="s">
        <v>68</v>
      </c>
      <c r="G9" s="13" t="s">
        <v>70</v>
      </c>
      <c r="H9" s="13" t="s">
        <v>71</v>
      </c>
      <c r="I9" s="10" t="s">
        <v>189</v>
      </c>
      <c r="J9" s="10" t="s">
        <v>73</v>
      </c>
      <c r="K9" s="13" t="s">
        <v>74</v>
      </c>
      <c r="L9" s="10" t="s">
        <v>97</v>
      </c>
      <c r="M9" s="51"/>
      <c r="N9" s="12" t="s">
        <v>108</v>
      </c>
      <c r="O9" s="12" t="s">
        <v>128</v>
      </c>
      <c r="P9" s="12" t="s">
        <v>140</v>
      </c>
      <c r="Q9" s="12" t="s">
        <v>150</v>
      </c>
      <c r="R9" s="12" t="s">
        <v>583</v>
      </c>
      <c r="S9" s="12" t="s">
        <v>158</v>
      </c>
      <c r="T9" s="12" t="str">
        <f>IF(Analisi_Voci!$E$7=F_1,"I_1",IF(Analisi_Voci!$E$7=Var_voce!$Z$63,"I_2",IF(Analisi_Voci!$E$7=Var_voce!$Z$65,"I_3","Nessuno")))</f>
        <v>I_1</v>
      </c>
      <c r="U9" s="12" t="str">
        <f>IF(Analisi_Voci!$F$7=Var_voce!$Y$63,"G_2","G_1")</f>
        <v>G_1</v>
      </c>
      <c r="V9" s="12" t="str">
        <f>IF(Analisi_Voci!$F$7=Var_voce!$Y$63,"C_2",IF(Analisi_Voci!$F$7=I_2,"C_2","C_1"))</f>
        <v>C_1</v>
      </c>
      <c r="W9" s="12" t="s">
        <v>193</v>
      </c>
      <c r="X9" s="83" t="str">
        <f ca="1"/>
        <v>160 mm</v>
      </c>
      <c r="Y9" s="20"/>
      <c r="Z9" s="19"/>
      <c r="AA9" s="19"/>
      <c r="AB9" s="20"/>
      <c r="AC9" s="20"/>
      <c r="AD9" s="20"/>
      <c r="AE9" s="20"/>
      <c r="AF9" s="20"/>
      <c r="AG9" s="21" t="str">
        <f ca="1"/>
        <v>230/190</v>
      </c>
      <c r="AH9" s="20"/>
      <c r="AI9" s="21"/>
      <c r="AJ9" s="21"/>
      <c r="AK9" s="28"/>
      <c r="AO9" s="2" t="s">
        <v>578</v>
      </c>
    </row>
    <row r="10" spans="1:41" ht="13" x14ac:dyDescent="0.3">
      <c r="A10" s="2" t="s">
        <v>578</v>
      </c>
      <c r="B10" s="37" t="str">
        <f>Titolo_descrizione!B10</f>
        <v>ASSEMBLATO EPS KLIMA AIR BLACK</v>
      </c>
      <c r="C10" s="10" t="s">
        <v>64</v>
      </c>
      <c r="D10" s="10" t="s">
        <v>571</v>
      </c>
      <c r="E10" s="13" t="s">
        <v>66</v>
      </c>
      <c r="F10" s="13" t="s">
        <v>68</v>
      </c>
      <c r="G10" s="13" t="s">
        <v>70</v>
      </c>
      <c r="H10" s="13" t="s">
        <v>71</v>
      </c>
      <c r="I10" s="10" t="s">
        <v>189</v>
      </c>
      <c r="J10" s="10" t="s">
        <v>73</v>
      </c>
      <c r="K10" s="13" t="s">
        <v>74</v>
      </c>
      <c r="L10" s="10" t="s">
        <v>97</v>
      </c>
      <c r="M10" s="51"/>
      <c r="N10" s="12" t="s">
        <v>120</v>
      </c>
      <c r="O10" s="12" t="s">
        <v>129</v>
      </c>
      <c r="P10" s="12" t="s">
        <v>140</v>
      </c>
      <c r="Q10" s="12" t="s">
        <v>150</v>
      </c>
      <c r="R10" s="12" t="s">
        <v>583</v>
      </c>
      <c r="S10" s="12" t="s">
        <v>158</v>
      </c>
      <c r="T10" s="12" t="str">
        <f>IF(Analisi_Voci!$E$7=F_1,"I_1",IF(Analisi_Voci!$E$7=Var_voce!$Z$63,"I_2",IF(Analisi_Voci!$E$7=Var_voce!$Z$65,"I_3","Nessuno")))</f>
        <v>I_1</v>
      </c>
      <c r="U10" s="12" t="str">
        <f>IF(Analisi_Voci!$F$7=Var_voce!$Y$63,"G_2","G_1")</f>
        <v>G_1</v>
      </c>
      <c r="V10" s="12" t="str">
        <f>IF(Analisi_Voci!$F$7=Var_voce!$Y$63,"C_2",IF(Analisi_Voci!$F$7=I_2,"C_2","C_1"))</f>
        <v>C_1</v>
      </c>
      <c r="W10" s="12" t="s">
        <v>193</v>
      </c>
      <c r="X10" s="83" t="str">
        <f ca="1"/>
        <v>180 mm</v>
      </c>
      <c r="Y10" s="22"/>
      <c r="Z10" s="19"/>
      <c r="AA10" s="19"/>
      <c r="AB10" s="22"/>
      <c r="AC10" s="22"/>
      <c r="AD10" s="22"/>
      <c r="AE10" s="22"/>
      <c r="AF10" s="22"/>
      <c r="AG10" s="32" t="str">
        <f ca="1"/>
        <v>250/210</v>
      </c>
      <c r="AH10" s="21"/>
      <c r="AI10" s="21"/>
      <c r="AJ10" s="21"/>
      <c r="AK10" s="28"/>
      <c r="AO10" s="2" t="s">
        <v>578</v>
      </c>
    </row>
    <row r="11" spans="1:41" ht="13" x14ac:dyDescent="0.3">
      <c r="A11" s="2" t="s">
        <v>578</v>
      </c>
      <c r="B11" s="37" t="str">
        <f>Titolo_descrizione!B11</f>
        <v>ASSEMBLATO EPS KLIMA AIRPLUS</v>
      </c>
      <c r="C11" s="10" t="s">
        <v>64</v>
      </c>
      <c r="D11" s="10" t="s">
        <v>571</v>
      </c>
      <c r="E11" s="13" t="s">
        <v>66</v>
      </c>
      <c r="F11" s="13" t="s">
        <v>68</v>
      </c>
      <c r="G11" s="13" t="s">
        <v>70</v>
      </c>
      <c r="H11" s="13" t="s">
        <v>71</v>
      </c>
      <c r="I11" s="10" t="s">
        <v>189</v>
      </c>
      <c r="J11" s="10" t="s">
        <v>73</v>
      </c>
      <c r="K11" s="13" t="s">
        <v>74</v>
      </c>
      <c r="L11" s="10" t="s">
        <v>97</v>
      </c>
      <c r="M11" s="51"/>
      <c r="N11" s="12" t="s">
        <v>122</v>
      </c>
      <c r="O11" s="12" t="s">
        <v>134</v>
      </c>
      <c r="P11" s="12" t="s">
        <v>140</v>
      </c>
      <c r="Q11" s="12" t="s">
        <v>150</v>
      </c>
      <c r="R11" s="12" t="s">
        <v>583</v>
      </c>
      <c r="S11" s="12" t="s">
        <v>158</v>
      </c>
      <c r="T11" s="12" t="str">
        <f>IF(Analisi_Voci!$E$7=F_1,"I_1",IF(Analisi_Voci!$E$7=Var_voce!$Z$63,"I_2",IF(Analisi_Voci!$E$7=Var_voce!$Z$65,"I_3","Nessuno")))</f>
        <v>I_1</v>
      </c>
      <c r="U11" s="12" t="str">
        <f>IF(Analisi_Voci!$F$7=Var_voce!$Y$63,"G_2","G_1")</f>
        <v>G_1</v>
      </c>
      <c r="V11" s="12" t="str">
        <f>IF(Analisi_Voci!$F$7=Var_voce!$Y$63,"C_2",IF(Analisi_Voci!$F$7=I_2,"C_2","C_1"))</f>
        <v>C_1</v>
      </c>
      <c r="W11" s="12" t="s">
        <v>193</v>
      </c>
      <c r="X11" s="83" t="str">
        <f ca="1"/>
        <v>200 mm</v>
      </c>
      <c r="Y11" s="19"/>
      <c r="Z11" s="20"/>
      <c r="AA11" s="20"/>
      <c r="AB11" s="20"/>
      <c r="AC11" s="20"/>
      <c r="AD11" s="20"/>
      <c r="AE11" s="20"/>
      <c r="AF11" s="20"/>
      <c r="AG11" s="23" t="str">
        <f ca="1"/>
        <v>270/230</v>
      </c>
      <c r="AH11" s="21"/>
      <c r="AI11" s="21"/>
      <c r="AJ11" s="21"/>
      <c r="AK11" s="28"/>
      <c r="AO11" s="2" t="s">
        <v>578</v>
      </c>
    </row>
    <row r="12" spans="1:41" ht="13" x14ac:dyDescent="0.3">
      <c r="A12" s="2" t="s">
        <v>578</v>
      </c>
      <c r="B12" s="37" t="str">
        <f>Titolo_descrizione!B12</f>
        <v>ASSEMBLATO EPS KLIMA AIRTECH</v>
      </c>
      <c r="C12" s="10" t="s">
        <v>64</v>
      </c>
      <c r="D12" s="10" t="s">
        <v>571</v>
      </c>
      <c r="E12" s="13" t="s">
        <v>66</v>
      </c>
      <c r="F12" s="13" t="s">
        <v>68</v>
      </c>
      <c r="G12" s="13" t="s">
        <v>70</v>
      </c>
      <c r="H12" s="13" t="s">
        <v>71</v>
      </c>
      <c r="I12" s="10" t="s">
        <v>189</v>
      </c>
      <c r="J12" s="10" t="s">
        <v>73</v>
      </c>
      <c r="K12" s="13" t="s">
        <v>74</v>
      </c>
      <c r="L12" s="10" t="s">
        <v>97</v>
      </c>
      <c r="M12" s="51"/>
      <c r="N12" s="12" t="s">
        <v>126</v>
      </c>
      <c r="O12" s="12" t="s">
        <v>130</v>
      </c>
      <c r="P12" s="12" t="s">
        <v>140</v>
      </c>
      <c r="Q12" s="12" t="s">
        <v>150</v>
      </c>
      <c r="R12" s="12" t="s">
        <v>583</v>
      </c>
      <c r="S12" s="12" t="s">
        <v>158</v>
      </c>
      <c r="T12" s="12" t="str">
        <f>IF(Analisi_Voci!$E$7=F_1,"I_1",IF(Analisi_Voci!$E$7=Var_voce!$Z$63,"I_2",IF(Analisi_Voci!$E$7=Var_voce!$Z$65,"I_3","Nessuno")))</f>
        <v>I_1</v>
      </c>
      <c r="U12" s="12" t="str">
        <f>IF(Analisi_Voci!$F$7=Var_voce!$Y$63,"G_2","G_1")</f>
        <v>G_1</v>
      </c>
      <c r="V12" s="12" t="str">
        <f>IF(Analisi_Voci!$F$7=Var_voce!$Y$63,"C_2",IF(Analisi_Voci!$F$7=I_2,"C_2","C_1"))</f>
        <v>C_1</v>
      </c>
      <c r="W12" s="12" t="s">
        <v>193</v>
      </c>
      <c r="X12" s="19"/>
      <c r="Y12" s="19"/>
      <c r="Z12" s="20"/>
      <c r="AA12" s="20"/>
      <c r="AB12" s="20"/>
      <c r="AC12" s="19"/>
      <c r="AD12" s="19"/>
      <c r="AE12" s="20"/>
      <c r="AF12" s="20"/>
      <c r="AG12" s="23" t="str">
        <f ca="1"/>
        <v>290/250</v>
      </c>
      <c r="AH12" s="21"/>
      <c r="AI12" s="21"/>
      <c r="AJ12" s="21"/>
      <c r="AK12" s="28"/>
      <c r="AO12" s="2" t="s">
        <v>578</v>
      </c>
    </row>
    <row r="13" spans="1:41" ht="13" x14ac:dyDescent="0.3">
      <c r="A13" s="2" t="s">
        <v>579</v>
      </c>
      <c r="B13" s="37" t="str">
        <f>Titolo_descrizione!B13</f>
        <v>ASSEMBLATO MW KLIMA AIRWOOL</v>
      </c>
      <c r="C13" s="10" t="s">
        <v>64</v>
      </c>
      <c r="D13" s="10" t="s">
        <v>571</v>
      </c>
      <c r="E13" s="13" t="s">
        <v>66</v>
      </c>
      <c r="F13" s="13" t="s">
        <v>68</v>
      </c>
      <c r="G13" s="13" t="s">
        <v>70</v>
      </c>
      <c r="H13" s="13" t="s">
        <v>71</v>
      </c>
      <c r="I13" s="10" t="s">
        <v>189</v>
      </c>
      <c r="J13" s="10" t="s">
        <v>73</v>
      </c>
      <c r="K13" s="13" t="s">
        <v>74</v>
      </c>
      <c r="L13" s="10" t="s">
        <v>97</v>
      </c>
      <c r="M13" s="51"/>
      <c r="N13" s="12" t="s">
        <v>123</v>
      </c>
      <c r="O13" s="12" t="s">
        <v>131</v>
      </c>
      <c r="P13" s="12" t="s">
        <v>139</v>
      </c>
      <c r="Q13" s="12" t="s">
        <v>150</v>
      </c>
      <c r="R13" s="12" t="s">
        <v>582</v>
      </c>
      <c r="S13" s="12" t="s">
        <v>158</v>
      </c>
      <c r="T13" s="12" t="str">
        <f>IF(Analisi_Voci!$E$7=F_1,"I_1",IF(Analisi_Voci!$E$7=Var_voce!$Z$63,"I_2",IF(Analisi_Voci!$E$7=Var_voce!$Z$65,"I_3","Nessuno")))</f>
        <v>I_1</v>
      </c>
      <c r="U13" s="12" t="str">
        <f>IF(Analisi_Voci!$F$7=Var_voce!$Y$63,"G_2","G_1")</f>
        <v>G_1</v>
      </c>
      <c r="V13" s="12" t="str">
        <f>IF(Analisi_Voci!$F$7=Var_voce!$Y$63,"C_2",IF(Analisi_Voci!$F$7=I_2,"C_2","C_1"))</f>
        <v>C_1</v>
      </c>
      <c r="W13" s="12" t="s">
        <v>193</v>
      </c>
      <c r="X13" s="106"/>
      <c r="Y13" s="19"/>
      <c r="Z13" s="23"/>
      <c r="AA13" s="23"/>
      <c r="AB13" s="21"/>
      <c r="AC13" s="19"/>
      <c r="AD13" s="19"/>
      <c r="AE13" s="20"/>
      <c r="AF13" s="21"/>
      <c r="AG13" s="21" t="str">
        <f ca="1"/>
        <v>310/270</v>
      </c>
      <c r="AH13" s="21"/>
      <c r="AI13" s="21"/>
      <c r="AJ13" s="21"/>
      <c r="AK13" s="28"/>
      <c r="AO13" s="2" t="s">
        <v>579</v>
      </c>
    </row>
    <row r="14" spans="1:41" ht="13" x14ac:dyDescent="0.3">
      <c r="A14" s="2" t="s">
        <v>579</v>
      </c>
      <c r="B14" s="37" t="str">
        <f>Titolo_descrizione!B14</f>
        <v>ASSEMBLATO MW KLIMA AIRWOOL PLUS</v>
      </c>
      <c r="C14" s="10" t="s">
        <v>64</v>
      </c>
      <c r="D14" s="10" t="s">
        <v>571</v>
      </c>
      <c r="E14" s="13" t="s">
        <v>66</v>
      </c>
      <c r="F14" s="13" t="s">
        <v>68</v>
      </c>
      <c r="G14" s="13" t="s">
        <v>70</v>
      </c>
      <c r="H14" s="13" t="s">
        <v>71</v>
      </c>
      <c r="I14" s="10" t="s">
        <v>189</v>
      </c>
      <c r="J14" s="10" t="s">
        <v>73</v>
      </c>
      <c r="K14" s="13" t="s">
        <v>74</v>
      </c>
      <c r="L14" s="10" t="s">
        <v>97</v>
      </c>
      <c r="M14" s="52"/>
      <c r="N14" s="12" t="s">
        <v>124</v>
      </c>
      <c r="O14" s="12" t="s">
        <v>132</v>
      </c>
      <c r="P14" s="12" t="s">
        <v>139</v>
      </c>
      <c r="Q14" s="12" t="s">
        <v>150</v>
      </c>
      <c r="R14" s="12" t="s">
        <v>582</v>
      </c>
      <c r="S14" s="12" t="s">
        <v>158</v>
      </c>
      <c r="T14" s="12" t="str">
        <f>IF(Analisi_Voci!$E$7=F_1,"I_1",IF(Analisi_Voci!$E$7=Var_voce!$Z$63,"I_2",IF(Analisi_Voci!$E$7=Var_voce!$Z$65,"I_3","Nessuno")))</f>
        <v>I_1</v>
      </c>
      <c r="U14" s="12" t="str">
        <f>IF(Analisi_Voci!$F$7=Var_voce!$Y$63,"G_2","G_1")</f>
        <v>G_1</v>
      </c>
      <c r="V14" s="12" t="str">
        <f>IF(Analisi_Voci!$F$7=Var_voce!$Y$63,"C_2",IF(Analisi_Voci!$F$7=I_2,"C_2","C_1"))</f>
        <v>C_1</v>
      </c>
      <c r="W14" s="12" t="s">
        <v>193</v>
      </c>
      <c r="X14" s="23"/>
      <c r="Y14" s="19"/>
      <c r="Z14" s="23"/>
      <c r="AA14" s="23"/>
      <c r="AB14" s="21"/>
      <c r="AC14" s="19"/>
      <c r="AD14" s="19"/>
      <c r="AE14" s="20"/>
      <c r="AF14" s="21"/>
      <c r="AG14" s="21"/>
      <c r="AH14" s="21"/>
      <c r="AI14" s="21"/>
      <c r="AJ14" s="21"/>
      <c r="AK14" s="28"/>
      <c r="AO14" s="2" t="s">
        <v>579</v>
      </c>
    </row>
    <row r="15" spans="1:41" ht="13.5" thickBot="1" x14ac:dyDescent="0.35">
      <c r="A15" s="2" t="s">
        <v>578</v>
      </c>
      <c r="B15" s="37" t="str">
        <f>Titolo_descrizione!B15</f>
        <v>ASSEMBLATO EPS GENERICO</v>
      </c>
      <c r="C15" s="10" t="s">
        <v>64</v>
      </c>
      <c r="D15" s="10" t="s">
        <v>571</v>
      </c>
      <c r="E15" s="13" t="s">
        <v>66</v>
      </c>
      <c r="F15" s="13" t="s">
        <v>69</v>
      </c>
      <c r="G15" s="13" t="s">
        <v>70</v>
      </c>
      <c r="H15" s="13" t="s">
        <v>71</v>
      </c>
      <c r="I15" s="10" t="s">
        <v>189</v>
      </c>
      <c r="J15" s="10" t="s">
        <v>73</v>
      </c>
      <c r="K15" s="13" t="s">
        <v>75</v>
      </c>
      <c r="L15" s="10" t="s">
        <v>97</v>
      </c>
      <c r="M15" s="52"/>
      <c r="N15" s="12" t="s">
        <v>52</v>
      </c>
      <c r="O15" s="43" t="str">
        <f t="shared" ref="O15:O22" si="0">NOP</f>
        <v>Nessuno</v>
      </c>
      <c r="P15" s="12" t="s">
        <v>140</v>
      </c>
      <c r="Q15" s="12" t="s">
        <v>150</v>
      </c>
      <c r="R15" s="12" t="s">
        <v>583</v>
      </c>
      <c r="S15" s="12" t="s">
        <v>158</v>
      </c>
      <c r="T15" s="12" t="str">
        <f>IF(Analisi_Voci!$E$7=F_1,"I_1",IF(Analisi_Voci!$E$7=Var_voce!$Z$63,"I_2",IF(Analisi_Voci!$E$7=Var_voce!$Z$65,"I_3","Nessuno")))</f>
        <v>I_1</v>
      </c>
      <c r="U15" s="12" t="str">
        <f>IF(Analisi_Voci!$F$7=Var_voce!$Y$63,"G_2","G_1")</f>
        <v>G_1</v>
      </c>
      <c r="V15" s="12" t="str">
        <f>IF(Analisi_Voci!$F$7=Var_voce!$Y$63,"C_2",IF(Analisi_Voci!$F$7=I_2,"C_2","C_1"))</f>
        <v>C_1</v>
      </c>
      <c r="W15" s="12" t="s">
        <v>193</v>
      </c>
      <c r="X15" s="23"/>
      <c r="Y15" s="20"/>
      <c r="Z15" s="29"/>
      <c r="AA15" s="29"/>
      <c r="AB15" s="29"/>
      <c r="AC15" s="29"/>
      <c r="AD15" s="29"/>
      <c r="AE15" s="30"/>
      <c r="AF15" s="29"/>
      <c r="AG15" s="29"/>
      <c r="AH15" s="29"/>
      <c r="AI15" s="29"/>
      <c r="AJ15" s="29"/>
      <c r="AK15" s="31"/>
      <c r="AO15" s="2" t="s">
        <v>578</v>
      </c>
    </row>
    <row r="16" spans="1:41" ht="13" x14ac:dyDescent="0.3">
      <c r="A16" s="2" t="s">
        <v>578</v>
      </c>
      <c r="B16" s="37" t="str">
        <f>Titolo_descrizione!B16</f>
        <v>ASSEMBLATO POLIURETANO GENERICO</v>
      </c>
      <c r="C16" s="10" t="s">
        <v>64</v>
      </c>
      <c r="D16" s="10" t="s">
        <v>571</v>
      </c>
      <c r="E16" s="13" t="s">
        <v>66</v>
      </c>
      <c r="F16" s="13" t="s">
        <v>69</v>
      </c>
      <c r="G16" s="13" t="s">
        <v>70</v>
      </c>
      <c r="H16" s="13" t="s">
        <v>71</v>
      </c>
      <c r="I16" s="10" t="s">
        <v>189</v>
      </c>
      <c r="J16" s="10" t="s">
        <v>73</v>
      </c>
      <c r="K16" s="13" t="s">
        <v>75</v>
      </c>
      <c r="L16" s="10" t="s">
        <v>97</v>
      </c>
      <c r="M16" s="52"/>
      <c r="N16" s="12" t="s">
        <v>52</v>
      </c>
      <c r="O16" s="43" t="str">
        <f t="shared" si="0"/>
        <v>Nessuno</v>
      </c>
      <c r="P16" s="12" t="s">
        <v>140</v>
      </c>
      <c r="Q16" s="12" t="s">
        <v>150</v>
      </c>
      <c r="R16" s="12" t="s">
        <v>583</v>
      </c>
      <c r="S16" s="12" t="s">
        <v>158</v>
      </c>
      <c r="T16" s="12" t="str">
        <f>IF(Analisi_Voci!$E$7=F_1,"I_1",IF(Analisi_Voci!$E$7=Var_voce!$Z$63,"I_2",IF(Analisi_Voci!$E$7=Var_voce!$Z$65,"I_3","Nessuno")))</f>
        <v>I_1</v>
      </c>
      <c r="U16" s="12" t="str">
        <f>IF(Analisi_Voci!$F$7=Var_voce!$Y$63,"G_2","G_1")</f>
        <v>G_1</v>
      </c>
      <c r="V16" s="12" t="str">
        <f>IF(Analisi_Voci!$F$7=Var_voce!$Y$63,"C_2",IF(Analisi_Voci!$F$7=I_2,"C_2","C_1"))</f>
        <v>C_1</v>
      </c>
      <c r="W16" s="12" t="s">
        <v>193</v>
      </c>
      <c r="AO16" s="2" t="s">
        <v>578</v>
      </c>
    </row>
    <row r="17" spans="1:41" ht="13" x14ac:dyDescent="0.3">
      <c r="A17" s="2" t="s">
        <v>578</v>
      </c>
      <c r="B17" s="37" t="str">
        <f>Titolo_descrizione!B17</f>
        <v>ASSEMBLATO RESINA FENOLICA GENERICO</v>
      </c>
      <c r="C17" s="10" t="s">
        <v>64</v>
      </c>
      <c r="D17" s="10" t="s">
        <v>571</v>
      </c>
      <c r="E17" s="13" t="s">
        <v>66</v>
      </c>
      <c r="F17" s="13" t="s">
        <v>69</v>
      </c>
      <c r="G17" s="13" t="s">
        <v>70</v>
      </c>
      <c r="H17" s="13" t="s">
        <v>71</v>
      </c>
      <c r="I17" s="10" t="s">
        <v>189</v>
      </c>
      <c r="J17" s="10" t="s">
        <v>73</v>
      </c>
      <c r="K17" s="13" t="s">
        <v>75</v>
      </c>
      <c r="L17" s="10" t="s">
        <v>97</v>
      </c>
      <c r="M17" s="52"/>
      <c r="N17" s="12" t="s">
        <v>52</v>
      </c>
      <c r="O17" s="43" t="str">
        <f t="shared" si="0"/>
        <v>Nessuno</v>
      </c>
      <c r="P17" s="12" t="s">
        <v>140</v>
      </c>
      <c r="Q17" s="12" t="s">
        <v>150</v>
      </c>
      <c r="R17" s="12" t="s">
        <v>583</v>
      </c>
      <c r="S17" s="12" t="s">
        <v>158</v>
      </c>
      <c r="T17" s="12" t="str">
        <f>IF(Analisi_Voci!$E$7=F_1,"I_1",IF(Analisi_Voci!$E$7=Var_voce!$Z$63,"I_2",IF(Analisi_Voci!$E$7=Var_voce!$Z$65,"I_3","Nessuno")))</f>
        <v>I_1</v>
      </c>
      <c r="U17" s="12" t="str">
        <f>IF(Analisi_Voci!$F$7=Var_voce!$Y$63,"G_2","G_1")</f>
        <v>G_1</v>
      </c>
      <c r="V17" s="12" t="str">
        <f>IF(Analisi_Voci!$F$7=Var_voce!$Y$63,"C_2",IF(Analisi_Voci!$F$7=I_2,"C_2","C_1"))</f>
        <v>C_1</v>
      </c>
      <c r="W17" s="12" t="s">
        <v>193</v>
      </c>
      <c r="AE17" t="str">
        <f>VLOOKUP(Analisi_Voci!C10,TAS_COR,2,FALSE)</f>
        <v>TT_2</v>
      </c>
      <c r="AO17" s="2" t="s">
        <v>578</v>
      </c>
    </row>
    <row r="18" spans="1:41" ht="13" x14ac:dyDescent="0.3">
      <c r="A18" s="2" t="s">
        <v>579</v>
      </c>
      <c r="B18" s="37" t="str">
        <f>Titolo_descrizione!B18</f>
        <v>ASSEMBLATO LANA DI ROCCIA GENERICO</v>
      </c>
      <c r="C18" s="10" t="s">
        <v>64</v>
      </c>
      <c r="D18" s="10" t="s">
        <v>571</v>
      </c>
      <c r="E18" s="13" t="s">
        <v>66</v>
      </c>
      <c r="F18" s="13" t="s">
        <v>69</v>
      </c>
      <c r="G18" s="13" t="s">
        <v>70</v>
      </c>
      <c r="H18" s="13" t="s">
        <v>71</v>
      </c>
      <c r="I18" s="10" t="s">
        <v>189</v>
      </c>
      <c r="J18" s="10" t="s">
        <v>73</v>
      </c>
      <c r="K18" s="13" t="s">
        <v>75</v>
      </c>
      <c r="L18" s="10" t="s">
        <v>97</v>
      </c>
      <c r="M18" s="52"/>
      <c r="N18" s="12" t="s">
        <v>52</v>
      </c>
      <c r="O18" s="43" t="str">
        <f t="shared" si="0"/>
        <v>Nessuno</v>
      </c>
      <c r="P18" s="12" t="s">
        <v>139</v>
      </c>
      <c r="Q18" s="12" t="s">
        <v>150</v>
      </c>
      <c r="R18" s="12" t="s">
        <v>582</v>
      </c>
      <c r="S18" s="12" t="s">
        <v>158</v>
      </c>
      <c r="T18" s="12" t="str">
        <f>IF(Analisi_Voci!$E$7=F_1,"I_1",IF(Analisi_Voci!$E$7=Var_voce!$Z$63,"I_2",IF(Analisi_Voci!$E$7=Var_voce!$Z$65,"I_3","Nessuno")))</f>
        <v>I_1</v>
      </c>
      <c r="U18" s="12" t="str">
        <f>IF(Analisi_Voci!$F$7=Var_voce!$Y$63,"G_2","G_1")</f>
        <v>G_1</v>
      </c>
      <c r="V18" s="12" t="str">
        <f>IF(Analisi_Voci!$F$7=Var_voce!$Y$63,"C_2",IF(Analisi_Voci!$F$7=I_2,"C_2","C_1"))</f>
        <v>C_1</v>
      </c>
      <c r="W18" s="12" t="s">
        <v>193</v>
      </c>
      <c r="AO18" s="2" t="s">
        <v>579</v>
      </c>
    </row>
    <row r="19" spans="1:41" ht="13" x14ac:dyDescent="0.3">
      <c r="A19" s="2" t="s">
        <v>579</v>
      </c>
      <c r="B19" s="37" t="str">
        <f>Titolo_descrizione!B19</f>
        <v>ASSEMBLATO LANA DI VETRO GENERICO</v>
      </c>
      <c r="C19" s="10" t="s">
        <v>64</v>
      </c>
      <c r="D19" s="10" t="s">
        <v>571</v>
      </c>
      <c r="E19" s="13" t="s">
        <v>66</v>
      </c>
      <c r="F19" s="13" t="s">
        <v>69</v>
      </c>
      <c r="G19" s="13" t="s">
        <v>70</v>
      </c>
      <c r="H19" s="13" t="s">
        <v>71</v>
      </c>
      <c r="I19" s="10" t="s">
        <v>189</v>
      </c>
      <c r="J19" s="10" t="s">
        <v>73</v>
      </c>
      <c r="K19" s="13" t="s">
        <v>75</v>
      </c>
      <c r="L19" s="10" t="s">
        <v>97</v>
      </c>
      <c r="M19" s="52"/>
      <c r="N19" s="12" t="s">
        <v>52</v>
      </c>
      <c r="O19" s="43" t="str">
        <f t="shared" si="0"/>
        <v>Nessuno</v>
      </c>
      <c r="P19" s="12" t="s">
        <v>139</v>
      </c>
      <c r="Q19" s="12" t="s">
        <v>150</v>
      </c>
      <c r="R19" s="12" t="s">
        <v>582</v>
      </c>
      <c r="S19" s="12" t="s">
        <v>158</v>
      </c>
      <c r="T19" s="12" t="str">
        <f>IF(Analisi_Voci!$E$7=F_1,"I_1",IF(Analisi_Voci!$E$7=Var_voce!$Z$63,"I_2",IF(Analisi_Voci!$E$7=Var_voce!$Z$65,"I_3","Nessuno")))</f>
        <v>I_1</v>
      </c>
      <c r="U19" s="12" t="str">
        <f>IF(Analisi_Voci!$F$7=Var_voce!$Y$63,"G_2","G_1")</f>
        <v>G_1</v>
      </c>
      <c r="V19" s="12" t="str">
        <f>IF(Analisi_Voci!$F$7=Var_voce!$Y$63,"C_2",IF(Analisi_Voci!$F$7=I_2,"C_2","C_1"))</f>
        <v>C_1</v>
      </c>
      <c r="W19" s="12" t="s">
        <v>193</v>
      </c>
      <c r="X19" s="1"/>
      <c r="AO19" s="2" t="s">
        <v>579</v>
      </c>
    </row>
    <row r="20" spans="1:41" ht="13" x14ac:dyDescent="0.3">
      <c r="A20" s="2" t="s">
        <v>579</v>
      </c>
      <c r="B20" s="37" t="str">
        <f>Titolo_descrizione!B20</f>
        <v>ASSEMBLATO AEROGEL GENERICO</v>
      </c>
      <c r="C20" s="10" t="s">
        <v>64</v>
      </c>
      <c r="D20" s="10" t="s">
        <v>571</v>
      </c>
      <c r="E20" s="13" t="s">
        <v>66</v>
      </c>
      <c r="F20" s="13" t="s">
        <v>69</v>
      </c>
      <c r="G20" s="13" t="s">
        <v>70</v>
      </c>
      <c r="H20" s="13" t="s">
        <v>71</v>
      </c>
      <c r="I20" s="10" t="s">
        <v>189</v>
      </c>
      <c r="J20" s="10" t="s">
        <v>73</v>
      </c>
      <c r="K20" s="13" t="s">
        <v>75</v>
      </c>
      <c r="L20" s="10" t="s">
        <v>97</v>
      </c>
      <c r="M20" s="52"/>
      <c r="N20" s="12" t="s">
        <v>52</v>
      </c>
      <c r="O20" s="43" t="str">
        <f t="shared" si="0"/>
        <v>Nessuno</v>
      </c>
      <c r="P20" s="12" t="s">
        <v>139</v>
      </c>
      <c r="Q20" s="12" t="s">
        <v>150</v>
      </c>
      <c r="R20" s="12" t="s">
        <v>582</v>
      </c>
      <c r="S20" s="12" t="s">
        <v>158</v>
      </c>
      <c r="T20" s="12" t="str">
        <f>IF(Analisi_Voci!$E$7=F_1,"I_1",IF(Analisi_Voci!$E$7=Var_voce!$Z$63,"I_2",IF(Analisi_Voci!$E$7=Var_voce!$Z$65,"I_3","Nessuno")))</f>
        <v>I_1</v>
      </c>
      <c r="U20" s="12" t="str">
        <f>IF(Analisi_Voci!$F$7=Var_voce!$Y$63,"G_2","G_1")</f>
        <v>G_1</v>
      </c>
      <c r="V20" s="12" t="str">
        <f>IF(Analisi_Voci!$F$7=Var_voce!$Y$63,"C_2",IF(Analisi_Voci!$F$7=I_2,"C_2","C_1"))</f>
        <v>C_1</v>
      </c>
      <c r="W20" s="12" t="s">
        <v>193</v>
      </c>
      <c r="AO20" s="2" t="s">
        <v>579</v>
      </c>
    </row>
    <row r="21" spans="1:41" ht="13" x14ac:dyDescent="0.3">
      <c r="A21" s="2" t="s">
        <v>579</v>
      </c>
      <c r="B21" s="37" t="str">
        <f>Titolo_descrizione!B21</f>
        <v>ASSEMBLATO FIBRA DI LEGNO GENERICO</v>
      </c>
      <c r="C21" s="10" t="s">
        <v>64</v>
      </c>
      <c r="D21" s="10" t="s">
        <v>571</v>
      </c>
      <c r="E21" s="13" t="s">
        <v>66</v>
      </c>
      <c r="F21" s="13" t="s">
        <v>69</v>
      </c>
      <c r="G21" s="13" t="s">
        <v>70</v>
      </c>
      <c r="H21" s="13" t="s">
        <v>71</v>
      </c>
      <c r="I21" s="10" t="s">
        <v>189</v>
      </c>
      <c r="J21" s="10" t="s">
        <v>73</v>
      </c>
      <c r="K21" s="13" t="s">
        <v>75</v>
      </c>
      <c r="L21" s="10" t="s">
        <v>97</v>
      </c>
      <c r="M21" s="52"/>
      <c r="N21" s="12" t="s">
        <v>52</v>
      </c>
      <c r="O21" s="43" t="str">
        <f t="shared" si="0"/>
        <v>Nessuno</v>
      </c>
      <c r="P21" s="12" t="s">
        <v>139</v>
      </c>
      <c r="Q21" s="12" t="s">
        <v>150</v>
      </c>
      <c r="R21" s="12" t="s">
        <v>582</v>
      </c>
      <c r="S21" s="12" t="s">
        <v>158</v>
      </c>
      <c r="T21" s="12" t="str">
        <f>IF(Analisi_Voci!$E$7=F_1,"I_1",IF(Analisi_Voci!$E$7=Var_voce!$Z$63,"I_2",IF(Analisi_Voci!$E$7=Var_voce!$Z$65,"I_3","Nessuno")))</f>
        <v>I_1</v>
      </c>
      <c r="U21" s="12" t="str">
        <f>IF(Analisi_Voci!$F$7=Var_voce!$Y$63,"G_2","G_1")</f>
        <v>G_1</v>
      </c>
      <c r="V21" s="12" t="str">
        <f>IF(Analisi_Voci!$F$7=Var_voce!$Y$63,"C_2",IF(Analisi_Voci!$F$7=I_2,"C_2","C_1"))</f>
        <v>C_1</v>
      </c>
      <c r="W21" s="12" t="s">
        <v>193</v>
      </c>
      <c r="AO21" s="2" t="s">
        <v>579</v>
      </c>
    </row>
    <row r="22" spans="1:41" ht="13" x14ac:dyDescent="0.3">
      <c r="A22" s="2" t="s">
        <v>579</v>
      </c>
      <c r="B22" s="37" t="str">
        <f>Titolo_descrizione!B22</f>
        <v>ASSEMBLATO SUGHERO GENERICO</v>
      </c>
      <c r="C22" s="10" t="s">
        <v>64</v>
      </c>
      <c r="D22" s="10" t="s">
        <v>571</v>
      </c>
      <c r="E22" s="13" t="s">
        <v>66</v>
      </c>
      <c r="F22" s="13" t="s">
        <v>69</v>
      </c>
      <c r="G22" s="13" t="s">
        <v>70</v>
      </c>
      <c r="H22" s="13" t="s">
        <v>71</v>
      </c>
      <c r="I22" s="10" t="s">
        <v>189</v>
      </c>
      <c r="J22" s="10" t="s">
        <v>73</v>
      </c>
      <c r="K22" s="13" t="s">
        <v>75</v>
      </c>
      <c r="L22" s="10" t="s">
        <v>97</v>
      </c>
      <c r="M22" s="52"/>
      <c r="N22" s="12" t="s">
        <v>52</v>
      </c>
      <c r="O22" s="43" t="str">
        <f t="shared" si="0"/>
        <v>Nessuno</v>
      </c>
      <c r="P22" s="12" t="s">
        <v>139</v>
      </c>
      <c r="Q22" s="12" t="s">
        <v>150</v>
      </c>
      <c r="R22" s="12" t="s">
        <v>582</v>
      </c>
      <c r="S22" s="12" t="s">
        <v>158</v>
      </c>
      <c r="T22" s="12" t="str">
        <f>IF(Analisi_Voci!$E$7=F_1,"I_1",IF(Analisi_Voci!$E$7=Var_voce!$Z$63,"I_2",IF(Analisi_Voci!$E$7=Var_voce!$Z$65,"I_3","Nessuno")))</f>
        <v>I_1</v>
      </c>
      <c r="U22" s="12" t="str">
        <f>IF(Analisi_Voci!$F$7=Var_voce!$Y$63,"G_2","G_1")</f>
        <v>G_1</v>
      </c>
      <c r="V22" s="12" t="str">
        <f>IF(Analisi_Voci!$F$7=Var_voce!$Y$63,"C_2",IF(Analisi_Voci!$F$7=I_2,"C_2","C_1"))</f>
        <v>C_1</v>
      </c>
      <c r="W22" s="12" t="s">
        <v>193</v>
      </c>
      <c r="AO22" s="2" t="s">
        <v>579</v>
      </c>
    </row>
    <row r="23" spans="1:41" ht="13" x14ac:dyDescent="0.3">
      <c r="A23" s="2" t="s">
        <v>578</v>
      </c>
      <c r="B23" s="37"/>
      <c r="C23" s="10"/>
      <c r="D23" s="10"/>
      <c r="E23" s="13"/>
      <c r="F23" s="13"/>
      <c r="G23" s="13"/>
      <c r="H23" s="13"/>
      <c r="I23" s="10"/>
      <c r="J23" s="10"/>
      <c r="K23" s="13"/>
      <c r="L23" s="10"/>
      <c r="M23" s="52"/>
      <c r="N23" s="12" t="s">
        <v>532</v>
      </c>
      <c r="O23" s="11" t="s">
        <v>531</v>
      </c>
      <c r="P23" s="12" t="s">
        <v>140</v>
      </c>
      <c r="Q23" s="12" t="s">
        <v>150</v>
      </c>
      <c r="R23" s="12" t="s">
        <v>583</v>
      </c>
      <c r="S23" s="12" t="s">
        <v>158</v>
      </c>
      <c r="T23" s="12" t="str">
        <f>IF(Analisi_Voci!$E$7=F_1,"I_1",IF(Analisi_Voci!$E$7=Var_voce!$Z$63,"I_2",IF(Analisi_Voci!$E$7=Var_voce!$Z$65,"I_3","Nessuno")))</f>
        <v>I_1</v>
      </c>
      <c r="U23" s="12" t="str">
        <f>IF(Analisi_Voci!$F$7=Var_voce!$Y$63,"G_2","G_1")</f>
        <v>G_1</v>
      </c>
      <c r="V23" s="12" t="str">
        <f>IF(Analisi_Voci!$F$7=Var_voce!$Y$63,"C_2",IF(Analisi_Voci!$F$7=I_2,"C_2","C_1"))</f>
        <v>C_1</v>
      </c>
      <c r="W23" s="12" t="s">
        <v>534</v>
      </c>
      <c r="AO23" s="2" t="s">
        <v>578</v>
      </c>
    </row>
    <row r="24" spans="1:41" x14ac:dyDescent="0.25">
      <c r="B24" s="6">
        <f>Titolo_descrizione!B25</f>
        <v>0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</row>
    <row r="25" spans="1:41" x14ac:dyDescent="0.25">
      <c r="B25" s="6">
        <f>Titolo_descrizione!B26</f>
        <v>0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</row>
    <row r="26" spans="1:41" x14ac:dyDescent="0.25">
      <c r="B26" s="6">
        <f>Titolo_descrizione!B27</f>
        <v>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</row>
    <row r="27" spans="1:41" x14ac:dyDescent="0.25">
      <c r="B27" s="6">
        <f>Titolo_descrizione!B28</f>
        <v>0</v>
      </c>
      <c r="C27" s="13"/>
      <c r="D27" s="13"/>
      <c r="E27" s="13"/>
      <c r="F27" s="6"/>
      <c r="G27" s="13"/>
      <c r="H27" s="6"/>
      <c r="I27" s="6"/>
      <c r="J27" s="6"/>
      <c r="K27" s="6"/>
      <c r="L27" s="7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</row>
    <row r="30" spans="1:41" ht="13" x14ac:dyDescent="0.3">
      <c r="B30" s="15" t="s">
        <v>76</v>
      </c>
      <c r="C30" s="11" t="s">
        <v>384</v>
      </c>
      <c r="D30" s="11" t="s">
        <v>385</v>
      </c>
    </row>
    <row r="31" spans="1:41" x14ac:dyDescent="0.25">
      <c r="B31" s="11" t="s">
        <v>77</v>
      </c>
      <c r="C31" s="4">
        <v>1</v>
      </c>
      <c r="D31" s="4">
        <v>2</v>
      </c>
    </row>
    <row r="32" spans="1:41" x14ac:dyDescent="0.25">
      <c r="B32" s="11" t="s">
        <v>78</v>
      </c>
      <c r="C32" s="4">
        <v>1</v>
      </c>
      <c r="D32" s="4">
        <v>2</v>
      </c>
    </row>
    <row r="33" spans="2:31" ht="13" thickBot="1" x14ac:dyDescent="0.3">
      <c r="B33" s="11" t="s">
        <v>79</v>
      </c>
      <c r="C33" s="4">
        <v>1</v>
      </c>
      <c r="D33" s="4">
        <v>2</v>
      </c>
    </row>
    <row r="34" spans="2:31" ht="13" x14ac:dyDescent="0.3">
      <c r="B34" s="11" t="s">
        <v>80</v>
      </c>
      <c r="C34" s="4">
        <v>1</v>
      </c>
      <c r="D34" s="4">
        <v>2</v>
      </c>
      <c r="X34" s="45" t="s">
        <v>107</v>
      </c>
      <c r="Y34" s="54"/>
      <c r="Z34" s="54"/>
      <c r="AA34" s="54"/>
      <c r="AB34" s="54"/>
      <c r="AC34" s="54"/>
      <c r="AD34" s="54"/>
      <c r="AE34" s="46"/>
    </row>
    <row r="35" spans="2:31" ht="13" x14ac:dyDescent="0.3">
      <c r="B35" s="11" t="s">
        <v>81</v>
      </c>
      <c r="C35" s="4">
        <v>1</v>
      </c>
      <c r="D35" s="4">
        <v>1</v>
      </c>
      <c r="X35" s="47" t="s">
        <v>128</v>
      </c>
      <c r="Y35" s="15" t="s">
        <v>129</v>
      </c>
      <c r="Z35" s="15" t="s">
        <v>134</v>
      </c>
      <c r="AA35" s="15" t="s">
        <v>130</v>
      </c>
      <c r="AB35" s="15" t="s">
        <v>131</v>
      </c>
      <c r="AC35" s="15" t="s">
        <v>132</v>
      </c>
      <c r="AD35" s="15" t="s">
        <v>133</v>
      </c>
      <c r="AE35" s="109" t="s">
        <v>531</v>
      </c>
    </row>
    <row r="36" spans="2:31" ht="13" x14ac:dyDescent="0.3">
      <c r="B36" s="11" t="s">
        <v>82</v>
      </c>
      <c r="C36" s="4">
        <v>1</v>
      </c>
      <c r="D36" s="4">
        <v>1</v>
      </c>
      <c r="X36" s="47" t="s">
        <v>108</v>
      </c>
      <c r="Y36" s="15" t="s">
        <v>120</v>
      </c>
      <c r="Z36" s="15" t="s">
        <v>122</v>
      </c>
      <c r="AA36" s="15" t="s">
        <v>126</v>
      </c>
      <c r="AB36" s="15" t="s">
        <v>123</v>
      </c>
      <c r="AC36" s="15" t="s">
        <v>124</v>
      </c>
      <c r="AD36" s="15" t="s">
        <v>52</v>
      </c>
      <c r="AE36" s="109" t="s">
        <v>532</v>
      </c>
    </row>
    <row r="37" spans="2:31" x14ac:dyDescent="0.25">
      <c r="B37" s="11" t="s">
        <v>83</v>
      </c>
      <c r="C37" s="4">
        <v>1</v>
      </c>
      <c r="D37" s="4">
        <v>2</v>
      </c>
      <c r="X37" s="55" t="s">
        <v>109</v>
      </c>
      <c r="Y37" s="11" t="s">
        <v>109</v>
      </c>
      <c r="Z37" s="11" t="s">
        <v>114</v>
      </c>
      <c r="AA37" s="11" t="s">
        <v>113</v>
      </c>
      <c r="AB37" s="11" t="s">
        <v>111</v>
      </c>
      <c r="AC37" s="11" t="s">
        <v>111</v>
      </c>
      <c r="AD37" s="11" t="s">
        <v>52</v>
      </c>
      <c r="AE37" s="48" t="s">
        <v>110</v>
      </c>
    </row>
    <row r="38" spans="2:31" x14ac:dyDescent="0.25">
      <c r="B38" s="11" t="s">
        <v>84</v>
      </c>
      <c r="C38" s="4">
        <v>1</v>
      </c>
      <c r="D38" s="4">
        <v>1</v>
      </c>
      <c r="X38" s="55" t="s">
        <v>110</v>
      </c>
      <c r="Y38" s="11" t="s">
        <v>110</v>
      </c>
      <c r="Z38" s="11" t="s">
        <v>115</v>
      </c>
      <c r="AA38" s="11" t="s">
        <v>114</v>
      </c>
      <c r="AB38" s="11" t="s">
        <v>112</v>
      </c>
      <c r="AC38" s="11" t="s">
        <v>112</v>
      </c>
      <c r="AD38" s="4"/>
      <c r="AE38" s="48" t="s">
        <v>111</v>
      </c>
    </row>
    <row r="39" spans="2:31" x14ac:dyDescent="0.25">
      <c r="B39" s="11" t="s">
        <v>85</v>
      </c>
      <c r="C39" s="4">
        <v>1</v>
      </c>
      <c r="D39" s="4">
        <v>1</v>
      </c>
      <c r="X39" s="55" t="s">
        <v>111</v>
      </c>
      <c r="Y39" s="11" t="s">
        <v>111</v>
      </c>
      <c r="Z39" s="11" t="s">
        <v>116</v>
      </c>
      <c r="AA39" s="11" t="s">
        <v>115</v>
      </c>
      <c r="AB39" s="11" t="s">
        <v>113</v>
      </c>
      <c r="AC39" s="11" t="s">
        <v>113</v>
      </c>
      <c r="AD39" s="4"/>
      <c r="AE39" s="48" t="s">
        <v>112</v>
      </c>
    </row>
    <row r="40" spans="2:31" x14ac:dyDescent="0.25">
      <c r="B40" s="11" t="s">
        <v>86</v>
      </c>
      <c r="C40" s="4">
        <v>1</v>
      </c>
      <c r="D40" s="4">
        <v>2</v>
      </c>
      <c r="X40" s="55" t="s">
        <v>112</v>
      </c>
      <c r="Y40" s="11" t="s">
        <v>112</v>
      </c>
      <c r="Z40" s="11" t="s">
        <v>117</v>
      </c>
      <c r="AA40" s="11" t="s">
        <v>116</v>
      </c>
      <c r="AB40" s="11" t="s">
        <v>114</v>
      </c>
      <c r="AC40" s="11" t="s">
        <v>114</v>
      </c>
      <c r="AD40" s="4"/>
      <c r="AE40" s="48" t="s">
        <v>113</v>
      </c>
    </row>
    <row r="41" spans="2:31" x14ac:dyDescent="0.25">
      <c r="B41" s="11" t="s">
        <v>87</v>
      </c>
      <c r="C41" s="4">
        <v>1</v>
      </c>
      <c r="D41" s="4">
        <v>2</v>
      </c>
      <c r="X41" s="55" t="s">
        <v>113</v>
      </c>
      <c r="Y41" s="11" t="s">
        <v>113</v>
      </c>
      <c r="Z41" s="11" t="s">
        <v>118</v>
      </c>
      <c r="AA41" s="11" t="s">
        <v>118</v>
      </c>
      <c r="AB41" s="11" t="s">
        <v>115</v>
      </c>
      <c r="AC41" s="11" t="s">
        <v>115</v>
      </c>
      <c r="AD41" s="4"/>
      <c r="AE41" s="48" t="s">
        <v>114</v>
      </c>
    </row>
    <row r="42" spans="2:31" x14ac:dyDescent="0.25">
      <c r="B42" s="11" t="s">
        <v>88</v>
      </c>
      <c r="C42" s="4">
        <v>1</v>
      </c>
      <c r="D42" s="4">
        <v>1</v>
      </c>
      <c r="X42" s="55" t="s">
        <v>114</v>
      </c>
      <c r="Y42" s="11" t="s">
        <v>114</v>
      </c>
      <c r="Z42" s="11" t="s">
        <v>119</v>
      </c>
      <c r="AA42" s="11" t="s">
        <v>119</v>
      </c>
      <c r="AB42" s="11" t="s">
        <v>116</v>
      </c>
      <c r="AC42" s="11" t="s">
        <v>116</v>
      </c>
      <c r="AD42" s="4"/>
      <c r="AE42" s="48" t="s">
        <v>115</v>
      </c>
    </row>
    <row r="43" spans="2:31" x14ac:dyDescent="0.25">
      <c r="B43" s="11" t="s">
        <v>89</v>
      </c>
      <c r="C43" s="4">
        <v>1</v>
      </c>
      <c r="D43" s="4">
        <v>2</v>
      </c>
      <c r="X43" s="55" t="s">
        <v>115</v>
      </c>
      <c r="Y43" s="11" t="s">
        <v>115</v>
      </c>
      <c r="Z43" s="11" t="s">
        <v>121</v>
      </c>
      <c r="AA43" s="11" t="s">
        <v>121</v>
      </c>
      <c r="AB43" s="11" t="s">
        <v>118</v>
      </c>
      <c r="AC43" s="11" t="s">
        <v>118</v>
      </c>
      <c r="AD43" s="4"/>
      <c r="AE43" s="48" t="s">
        <v>116</v>
      </c>
    </row>
    <row r="44" spans="2:31" x14ac:dyDescent="0.25">
      <c r="B44" s="11" t="s">
        <v>90</v>
      </c>
      <c r="C44" s="4">
        <v>2</v>
      </c>
      <c r="D44" s="4">
        <v>3</v>
      </c>
      <c r="X44" s="55" t="s">
        <v>116</v>
      </c>
      <c r="Y44" s="11" t="s">
        <v>116</v>
      </c>
      <c r="Z44" s="4"/>
      <c r="AA44" s="4"/>
      <c r="AB44" s="11" t="s">
        <v>119</v>
      </c>
      <c r="AC44" s="11" t="s">
        <v>119</v>
      </c>
      <c r="AD44" s="4"/>
      <c r="AE44" s="48" t="s">
        <v>117</v>
      </c>
    </row>
    <row r="45" spans="2:31" x14ac:dyDescent="0.25">
      <c r="B45" s="11" t="s">
        <v>91</v>
      </c>
      <c r="C45" s="4">
        <v>2</v>
      </c>
      <c r="D45" s="4">
        <v>3</v>
      </c>
      <c r="X45" s="55" t="s">
        <v>117</v>
      </c>
      <c r="Y45" s="4"/>
      <c r="Z45" s="4"/>
      <c r="AA45" s="4"/>
      <c r="AB45" s="11" t="s">
        <v>121</v>
      </c>
      <c r="AC45" s="11" t="s">
        <v>121</v>
      </c>
      <c r="AD45" s="4"/>
      <c r="AE45" s="48" t="s">
        <v>118</v>
      </c>
    </row>
    <row r="46" spans="2:31" x14ac:dyDescent="0.25">
      <c r="B46" s="11" t="s">
        <v>92</v>
      </c>
      <c r="C46" s="4">
        <v>1</v>
      </c>
      <c r="D46" s="4">
        <v>2</v>
      </c>
      <c r="X46" s="55" t="s">
        <v>118</v>
      </c>
      <c r="Y46" s="4"/>
      <c r="Z46" s="4"/>
      <c r="AA46" s="4"/>
      <c r="AB46" s="4"/>
      <c r="AC46" s="4"/>
      <c r="AD46" s="4"/>
      <c r="AE46" s="48" t="s">
        <v>119</v>
      </c>
    </row>
    <row r="47" spans="2:31" x14ac:dyDescent="0.25">
      <c r="B47" s="11" t="s">
        <v>93</v>
      </c>
      <c r="C47" s="4">
        <v>1</v>
      </c>
      <c r="D47" s="4">
        <v>1</v>
      </c>
      <c r="X47" s="55" t="s">
        <v>119</v>
      </c>
      <c r="Y47" s="4"/>
      <c r="Z47" s="4"/>
      <c r="AA47" s="4"/>
      <c r="AB47" s="4"/>
      <c r="AC47" s="4"/>
      <c r="AD47" s="4"/>
      <c r="AE47" s="48" t="s">
        <v>121</v>
      </c>
    </row>
    <row r="48" spans="2:31" ht="13" thickBot="1" x14ac:dyDescent="0.3">
      <c r="B48" s="11" t="s">
        <v>94</v>
      </c>
      <c r="C48" s="4">
        <v>1</v>
      </c>
      <c r="D48" s="4">
        <v>2</v>
      </c>
      <c r="X48" s="57" t="s">
        <v>121</v>
      </c>
      <c r="Y48" s="58"/>
      <c r="Z48" s="58"/>
      <c r="AA48" s="58"/>
      <c r="AB48" s="58"/>
      <c r="AC48" s="58"/>
      <c r="AD48" s="58"/>
      <c r="AE48" s="50" t="s">
        <v>533</v>
      </c>
    </row>
    <row r="49" spans="2:33" ht="13" thickBot="1" x14ac:dyDescent="0.3">
      <c r="B49" s="11" t="s">
        <v>95</v>
      </c>
      <c r="C49" s="4">
        <v>1</v>
      </c>
      <c r="D49" s="4">
        <v>1</v>
      </c>
    </row>
    <row r="50" spans="2:33" ht="13.5" thickBot="1" x14ac:dyDescent="0.35">
      <c r="B50" s="11" t="s">
        <v>96</v>
      </c>
      <c r="C50" s="4">
        <v>1</v>
      </c>
      <c r="D50" s="4">
        <v>1</v>
      </c>
      <c r="X50" s="45" t="s">
        <v>137</v>
      </c>
      <c r="Y50" s="54"/>
      <c r="Z50" s="54"/>
      <c r="AA50" s="46"/>
      <c r="AB50" s="133" t="s">
        <v>149</v>
      </c>
      <c r="AC50" s="46"/>
      <c r="AD50" s="136" t="s">
        <v>570</v>
      </c>
      <c r="AE50" s="137"/>
      <c r="AF50" s="137"/>
      <c r="AG50" s="138"/>
    </row>
    <row r="51" spans="2:33" x14ac:dyDescent="0.25">
      <c r="X51" s="55" t="s">
        <v>136</v>
      </c>
      <c r="Y51" s="11" t="s">
        <v>138</v>
      </c>
      <c r="Z51" s="11" t="s">
        <v>139</v>
      </c>
      <c r="AA51" s="48" t="s">
        <v>140</v>
      </c>
      <c r="AB51" s="134" t="s">
        <v>150</v>
      </c>
      <c r="AC51" s="76" t="s">
        <v>151</v>
      </c>
      <c r="AD51" s="78" t="s">
        <v>569</v>
      </c>
      <c r="AE51" s="80" t="s">
        <v>581</v>
      </c>
      <c r="AF51" s="80" t="s">
        <v>582</v>
      </c>
      <c r="AG51" s="79" t="s">
        <v>583</v>
      </c>
    </row>
    <row r="52" spans="2:33" x14ac:dyDescent="0.25">
      <c r="X52" s="55" t="s">
        <v>141</v>
      </c>
      <c r="Y52" s="11" t="s">
        <v>144</v>
      </c>
      <c r="Z52" s="11" t="s">
        <v>145</v>
      </c>
      <c r="AA52" s="48" t="s">
        <v>141</v>
      </c>
      <c r="AB52" s="134" t="s">
        <v>7</v>
      </c>
      <c r="AC52" s="76" t="s">
        <v>7</v>
      </c>
      <c r="AD52" s="55" t="s">
        <v>141</v>
      </c>
      <c r="AE52" s="11" t="s">
        <v>144</v>
      </c>
      <c r="AF52" s="11" t="s">
        <v>145</v>
      </c>
      <c r="AG52" s="48" t="s">
        <v>141</v>
      </c>
    </row>
    <row r="53" spans="2:33" ht="13" thickBot="1" x14ac:dyDescent="0.3">
      <c r="X53" s="55" t="s">
        <v>142</v>
      </c>
      <c r="Y53" s="4"/>
      <c r="Z53" s="11" t="s">
        <v>143</v>
      </c>
      <c r="AA53" s="48" t="s">
        <v>142</v>
      </c>
      <c r="AB53" s="135" t="s">
        <v>9</v>
      </c>
      <c r="AC53" s="86"/>
      <c r="AD53" s="55" t="s">
        <v>142</v>
      </c>
      <c r="AE53" s="4"/>
      <c r="AF53" s="11" t="s">
        <v>143</v>
      </c>
      <c r="AG53" s="48" t="s">
        <v>142</v>
      </c>
    </row>
    <row r="54" spans="2:33" x14ac:dyDescent="0.25">
      <c r="X54" s="55" t="s">
        <v>143</v>
      </c>
      <c r="Y54" s="4"/>
      <c r="Z54" s="11" t="s">
        <v>147</v>
      </c>
      <c r="AA54" s="48" t="s">
        <v>143</v>
      </c>
      <c r="AD54" s="55" t="s">
        <v>143</v>
      </c>
      <c r="AE54" s="4"/>
      <c r="AF54" s="11" t="s">
        <v>147</v>
      </c>
      <c r="AG54" s="48" t="s">
        <v>143</v>
      </c>
    </row>
    <row r="55" spans="2:33" x14ac:dyDescent="0.25">
      <c r="X55" s="55" t="s">
        <v>144</v>
      </c>
      <c r="Y55" s="4"/>
      <c r="Z55" s="11" t="s">
        <v>148</v>
      </c>
      <c r="AA55" s="48" t="s">
        <v>144</v>
      </c>
      <c r="AD55" s="55" t="s">
        <v>144</v>
      </c>
      <c r="AE55" s="4"/>
      <c r="AF55" s="11" t="s">
        <v>148</v>
      </c>
      <c r="AG55" s="48" t="s">
        <v>144</v>
      </c>
    </row>
    <row r="56" spans="2:33" x14ac:dyDescent="0.25">
      <c r="X56" s="55" t="s">
        <v>147</v>
      </c>
      <c r="Y56" s="4"/>
      <c r="Z56" s="4"/>
      <c r="AA56" s="48" t="s">
        <v>146</v>
      </c>
      <c r="AD56" s="55" t="s">
        <v>147</v>
      </c>
      <c r="AE56" s="4"/>
      <c r="AF56" s="4"/>
      <c r="AG56" s="48" t="s">
        <v>146</v>
      </c>
    </row>
    <row r="57" spans="2:33" x14ac:dyDescent="0.25">
      <c r="X57" s="55" t="s">
        <v>148</v>
      </c>
      <c r="Y57" s="4"/>
      <c r="Z57" s="4"/>
      <c r="AA57" s="48" t="s">
        <v>147</v>
      </c>
      <c r="AD57" s="55" t="s">
        <v>148</v>
      </c>
      <c r="AE57" s="4"/>
      <c r="AF57" s="4"/>
      <c r="AG57" s="48" t="s">
        <v>147</v>
      </c>
    </row>
    <row r="58" spans="2:33" ht="13" thickBot="1" x14ac:dyDescent="0.3">
      <c r="X58" s="71" t="s">
        <v>146</v>
      </c>
      <c r="Y58" s="58"/>
      <c r="Z58" s="58"/>
      <c r="AA58" s="50" t="s">
        <v>148</v>
      </c>
      <c r="AD58" s="70" t="s">
        <v>146</v>
      </c>
      <c r="AE58" s="4"/>
      <c r="AF58" s="4"/>
      <c r="AG58" s="48" t="s">
        <v>148</v>
      </c>
    </row>
    <row r="59" spans="2:33" ht="13" thickBot="1" x14ac:dyDescent="0.3">
      <c r="AA59" s="108"/>
      <c r="AD59" s="71"/>
      <c r="AE59" s="58"/>
      <c r="AF59" s="58"/>
      <c r="AG59" s="50" t="s">
        <v>566</v>
      </c>
    </row>
    <row r="60" spans="2:33" ht="13" thickBot="1" x14ac:dyDescent="0.3"/>
    <row r="61" spans="2:33" ht="13" x14ac:dyDescent="0.3">
      <c r="X61" s="45" t="s">
        <v>162</v>
      </c>
      <c r="Y61" s="54"/>
      <c r="Z61" s="54"/>
      <c r="AA61" s="54"/>
      <c r="AB61" s="46"/>
      <c r="AE61" s="2" t="s">
        <v>423</v>
      </c>
      <c r="AF61" s="11" t="s">
        <v>181</v>
      </c>
      <c r="AG61" s="76" t="str">
        <f>$AE$61&amp;AF61</f>
        <v>Kerakover Acrilex Finish 1.0 Bianco</v>
      </c>
    </row>
    <row r="62" spans="2:33" x14ac:dyDescent="0.25">
      <c r="X62" s="55" t="s">
        <v>157</v>
      </c>
      <c r="Y62" s="11" t="s">
        <v>159</v>
      </c>
      <c r="Z62" s="11" t="s">
        <v>158</v>
      </c>
      <c r="AA62" s="11" t="s">
        <v>160</v>
      </c>
      <c r="AB62" s="48" t="s">
        <v>161</v>
      </c>
      <c r="AC62" s="2"/>
      <c r="AE62" s="2" t="s">
        <v>424</v>
      </c>
      <c r="AF62" s="11" t="s">
        <v>183</v>
      </c>
      <c r="AG62" s="76" t="str">
        <f t="shared" ref="AG62:AG64" si="1">$AE$61&amp;AF62</f>
        <v>Kerakover Acrilex Finish 1.0 Colorato B</v>
      </c>
    </row>
    <row r="63" spans="2:33" x14ac:dyDescent="0.25">
      <c r="X63" s="55" t="s">
        <v>163</v>
      </c>
      <c r="Y63" s="11" t="s">
        <v>164</v>
      </c>
      <c r="Z63" s="11" t="s">
        <v>177</v>
      </c>
      <c r="AA63" s="11" t="s">
        <v>179</v>
      </c>
      <c r="AB63" s="48" t="s">
        <v>180</v>
      </c>
      <c r="AE63" s="2" t="s">
        <v>425</v>
      </c>
      <c r="AF63" s="11" t="s">
        <v>182</v>
      </c>
      <c r="AG63" s="76" t="str">
        <f t="shared" si="1"/>
        <v>Kerakover Acrilex Finish 1.0 Colorato A</v>
      </c>
    </row>
    <row r="64" spans="2:33" x14ac:dyDescent="0.25">
      <c r="X64" s="70"/>
      <c r="Y64" s="11" t="s">
        <v>165</v>
      </c>
      <c r="Z64" s="11" t="s">
        <v>163</v>
      </c>
      <c r="AA64" s="4"/>
      <c r="AB64" s="56"/>
      <c r="AF64" s="11" t="s">
        <v>184</v>
      </c>
      <c r="AG64" s="76" t="str">
        <f t="shared" si="1"/>
        <v>Kerakover Acrilex Finish 1.0 Colorato AA</v>
      </c>
    </row>
    <row r="65" spans="24:33" ht="13" thickBot="1" x14ac:dyDescent="0.3">
      <c r="X65" s="71"/>
      <c r="Y65" s="58"/>
      <c r="Z65" s="73" t="s">
        <v>178</v>
      </c>
      <c r="AA65" s="58"/>
      <c r="AB65" s="59"/>
      <c r="AF65" s="11" t="s">
        <v>181</v>
      </c>
      <c r="AG65" s="76" t="str">
        <f>$AE$62&amp;AF65</f>
        <v>Kerakover Acrilex Finish 1.2 Bianco</v>
      </c>
    </row>
    <row r="66" spans="24:33" x14ac:dyDescent="0.25">
      <c r="AF66" s="11" t="s">
        <v>183</v>
      </c>
      <c r="AG66" s="76" t="str">
        <f t="shared" ref="AG66:AG68" si="2">$AE$62&amp;AF66</f>
        <v>Kerakover Acrilex Finish 1.2 Colorato B</v>
      </c>
    </row>
    <row r="67" spans="24:33" ht="13" thickBot="1" x14ac:dyDescent="0.3">
      <c r="AF67" s="11" t="s">
        <v>182</v>
      </c>
      <c r="AG67" s="76" t="str">
        <f t="shared" si="2"/>
        <v>Kerakover Acrilex Finish 1.2 Colorato A</v>
      </c>
    </row>
    <row r="68" spans="24:33" ht="13" x14ac:dyDescent="0.3">
      <c r="X68" s="45" t="s">
        <v>166</v>
      </c>
      <c r="Y68" s="54"/>
      <c r="Z68" s="74" t="s">
        <v>174</v>
      </c>
      <c r="AA68" s="75"/>
      <c r="AB68" s="78" t="s">
        <v>191</v>
      </c>
      <c r="AC68" s="46"/>
      <c r="AF68" s="11" t="s">
        <v>184</v>
      </c>
      <c r="AG68" s="76" t="str">
        <f t="shared" si="2"/>
        <v>Kerakover Acrilex Finish 1.2 Colorato AA</v>
      </c>
    </row>
    <row r="69" spans="24:33" x14ac:dyDescent="0.25">
      <c r="X69" s="55" t="s">
        <v>170</v>
      </c>
      <c r="Y69" s="11" t="s">
        <v>171</v>
      </c>
      <c r="Z69" s="11" t="s">
        <v>175</v>
      </c>
      <c r="AA69" s="76" t="s">
        <v>176</v>
      </c>
      <c r="AB69" s="55" t="s">
        <v>192</v>
      </c>
      <c r="AC69" s="48" t="s">
        <v>193</v>
      </c>
      <c r="AF69" s="11" t="s">
        <v>181</v>
      </c>
      <c r="AG69" s="76" t="str">
        <f>$AE$63&amp;AF69</f>
        <v>Kerakover Acrilex Finish 1.5 Bianco</v>
      </c>
    </row>
    <row r="70" spans="24:33" x14ac:dyDescent="0.25">
      <c r="X70" s="55" t="s">
        <v>167</v>
      </c>
      <c r="Y70" s="11" t="s">
        <v>172</v>
      </c>
      <c r="Z70" s="11" t="s">
        <v>181</v>
      </c>
      <c r="AA70" s="76" t="s">
        <v>181</v>
      </c>
      <c r="AB70" s="55" t="s">
        <v>346</v>
      </c>
      <c r="AC70" s="48" t="s">
        <v>346</v>
      </c>
      <c r="AF70" s="11" t="s">
        <v>183</v>
      </c>
      <c r="AG70" s="76" t="str">
        <f t="shared" ref="AG70:AG72" si="3">$AE$63&amp;AF70</f>
        <v>Kerakover Acrilex Finish 1.5 Colorato B</v>
      </c>
    </row>
    <row r="71" spans="24:33" x14ac:dyDescent="0.25">
      <c r="X71" s="55" t="s">
        <v>168</v>
      </c>
      <c r="Y71" s="11" t="s">
        <v>173</v>
      </c>
      <c r="Z71" s="11" t="s">
        <v>183</v>
      </c>
      <c r="AA71" s="76" t="s">
        <v>183</v>
      </c>
      <c r="AB71" s="55" t="s">
        <v>194</v>
      </c>
      <c r="AC71" s="48" t="s">
        <v>194</v>
      </c>
      <c r="AF71" s="11" t="s">
        <v>182</v>
      </c>
      <c r="AG71" s="76" t="str">
        <f t="shared" si="3"/>
        <v>Kerakover Acrilex Finish 1.5 Colorato A</v>
      </c>
    </row>
    <row r="72" spans="24:33" x14ac:dyDescent="0.25">
      <c r="X72" s="55" t="s">
        <v>169</v>
      </c>
      <c r="Y72" s="4"/>
      <c r="Z72" s="11" t="s">
        <v>182</v>
      </c>
      <c r="AA72" s="76" t="s">
        <v>182</v>
      </c>
      <c r="AB72" s="55" t="s">
        <v>195</v>
      </c>
      <c r="AC72" s="48" t="s">
        <v>195</v>
      </c>
      <c r="AF72" s="11" t="s">
        <v>184</v>
      </c>
      <c r="AG72" s="76" t="str">
        <f t="shared" si="3"/>
        <v>Kerakover Acrilex Finish 1.5 Colorato AA</v>
      </c>
    </row>
    <row r="73" spans="24:33" x14ac:dyDescent="0.25">
      <c r="X73" s="70"/>
      <c r="Y73" s="4"/>
      <c r="Z73" s="11" t="s">
        <v>184</v>
      </c>
      <c r="AA73" s="76" t="s">
        <v>184</v>
      </c>
      <c r="AB73" s="70"/>
      <c r="AC73" s="48" t="s">
        <v>196</v>
      </c>
      <c r="AG73" s="76"/>
    </row>
    <row r="74" spans="24:33" ht="13" thickBot="1" x14ac:dyDescent="0.3">
      <c r="X74" s="71"/>
      <c r="Y74" s="58"/>
      <c r="Z74" s="58"/>
      <c r="AA74" s="77" t="s">
        <v>185</v>
      </c>
      <c r="AB74" s="70"/>
      <c r="AC74" s="48" t="s">
        <v>197</v>
      </c>
      <c r="AG74" s="76"/>
    </row>
    <row r="75" spans="24:33" ht="13" thickBot="1" x14ac:dyDescent="0.3">
      <c r="AB75" s="71"/>
      <c r="AC75" s="50" t="s">
        <v>198</v>
      </c>
      <c r="AG75" s="77"/>
    </row>
    <row r="78" spans="24:33" ht="13" thickBot="1" x14ac:dyDescent="0.3">
      <c r="X78" s="2" t="s">
        <v>199</v>
      </c>
    </row>
    <row r="79" spans="24:33" x14ac:dyDescent="0.25">
      <c r="X79" s="78" t="s">
        <v>346</v>
      </c>
      <c r="Y79" s="80" t="s">
        <v>194</v>
      </c>
      <c r="Z79" s="80" t="s">
        <v>195</v>
      </c>
      <c r="AA79" s="80" t="s">
        <v>196</v>
      </c>
      <c r="AB79" s="80" t="s">
        <v>197</v>
      </c>
      <c r="AC79" s="79" t="s">
        <v>198</v>
      </c>
    </row>
    <row r="80" spans="24:33" x14ac:dyDescent="0.25">
      <c r="X80" s="55" t="s">
        <v>220</v>
      </c>
      <c r="Y80" s="11" t="s">
        <v>221</v>
      </c>
      <c r="Z80" s="11" t="s">
        <v>222</v>
      </c>
      <c r="AA80" s="11" t="s">
        <v>223</v>
      </c>
      <c r="AB80" s="11" t="s">
        <v>224</v>
      </c>
      <c r="AC80" s="48" t="s">
        <v>225</v>
      </c>
    </row>
    <row r="81" spans="24:29" x14ac:dyDescent="0.25">
      <c r="X81" s="55" t="s">
        <v>201</v>
      </c>
      <c r="Y81" s="11" t="s">
        <v>201</v>
      </c>
      <c r="Z81" s="11" t="s">
        <v>200</v>
      </c>
      <c r="AA81" s="39" t="s">
        <v>219</v>
      </c>
      <c r="AB81" s="11" t="s">
        <v>201</v>
      </c>
      <c r="AC81" s="48" t="s">
        <v>201</v>
      </c>
    </row>
    <row r="82" spans="24:29" x14ac:dyDescent="0.25">
      <c r="X82" s="55" t="s">
        <v>202</v>
      </c>
      <c r="Y82" s="11" t="s">
        <v>202</v>
      </c>
      <c r="Z82" s="11" t="s">
        <v>201</v>
      </c>
      <c r="AA82" s="4"/>
      <c r="AB82" s="11" t="s">
        <v>202</v>
      </c>
      <c r="AC82" s="48" t="s">
        <v>202</v>
      </c>
    </row>
    <row r="83" spans="24:29" x14ac:dyDescent="0.25">
      <c r="X83" s="55" t="s">
        <v>212</v>
      </c>
      <c r="Y83" s="11" t="s">
        <v>203</v>
      </c>
      <c r="Z83" s="11" t="s">
        <v>202</v>
      </c>
      <c r="AA83" s="4"/>
      <c r="AB83" s="11" t="s">
        <v>203</v>
      </c>
      <c r="AC83" s="48" t="s">
        <v>203</v>
      </c>
    </row>
    <row r="84" spans="24:29" x14ac:dyDescent="0.25">
      <c r="X84" s="55" t="s">
        <v>213</v>
      </c>
      <c r="Y84" s="11" t="s">
        <v>204</v>
      </c>
      <c r="Z84" s="11" t="s">
        <v>203</v>
      </c>
      <c r="AA84" s="4"/>
      <c r="AB84" s="11" t="s">
        <v>204</v>
      </c>
      <c r="AC84" s="48" t="s">
        <v>204</v>
      </c>
    </row>
    <row r="85" spans="24:29" x14ac:dyDescent="0.25">
      <c r="X85" s="55" t="s">
        <v>214</v>
      </c>
      <c r="Y85" s="11" t="s">
        <v>205</v>
      </c>
      <c r="Z85" s="11" t="s">
        <v>204</v>
      </c>
      <c r="AA85" s="4"/>
      <c r="AB85" s="11" t="s">
        <v>205</v>
      </c>
      <c r="AC85" s="48" t="s">
        <v>205</v>
      </c>
    </row>
    <row r="86" spans="24:29" x14ac:dyDescent="0.25">
      <c r="X86" s="55" t="s">
        <v>215</v>
      </c>
      <c r="Y86" s="11" t="s">
        <v>206</v>
      </c>
      <c r="Z86" s="11" t="s">
        <v>205</v>
      </c>
      <c r="AA86" s="4"/>
      <c r="AB86" s="11" t="s">
        <v>206</v>
      </c>
      <c r="AC86" s="48" t="s">
        <v>206</v>
      </c>
    </row>
    <row r="87" spans="24:29" x14ac:dyDescent="0.25">
      <c r="X87" s="55" t="s">
        <v>216</v>
      </c>
      <c r="Y87" s="11" t="s">
        <v>207</v>
      </c>
      <c r="Z87" s="11" t="s">
        <v>206</v>
      </c>
      <c r="AA87" s="4"/>
      <c r="AB87" s="11" t="s">
        <v>207</v>
      </c>
      <c r="AC87" s="48" t="s">
        <v>207</v>
      </c>
    </row>
    <row r="88" spans="24:29" x14ac:dyDescent="0.25">
      <c r="X88" s="55" t="s">
        <v>217</v>
      </c>
      <c r="Y88" s="11" t="s">
        <v>208</v>
      </c>
      <c r="Z88" s="11" t="s">
        <v>207</v>
      </c>
      <c r="AA88" s="4"/>
      <c r="AB88" s="11" t="s">
        <v>208</v>
      </c>
      <c r="AC88" s="48" t="s">
        <v>208</v>
      </c>
    </row>
    <row r="89" spans="24:29" x14ac:dyDescent="0.25">
      <c r="X89" s="55" t="s">
        <v>218</v>
      </c>
      <c r="Y89" s="11" t="s">
        <v>209</v>
      </c>
      <c r="Z89" s="4"/>
      <c r="AA89" s="4"/>
      <c r="AB89" s="11" t="s">
        <v>209</v>
      </c>
      <c r="AC89" s="56"/>
    </row>
    <row r="90" spans="24:29" x14ac:dyDescent="0.25">
      <c r="X90" s="55" t="s">
        <v>210</v>
      </c>
      <c r="Y90" s="11" t="s">
        <v>210</v>
      </c>
      <c r="Z90" s="4"/>
      <c r="AA90" s="4"/>
      <c r="AB90" s="11" t="s">
        <v>210</v>
      </c>
      <c r="AC90" s="56"/>
    </row>
    <row r="91" spans="24:29" ht="13" thickBot="1" x14ac:dyDescent="0.3">
      <c r="X91" s="57" t="s">
        <v>211</v>
      </c>
      <c r="Y91" s="73" t="s">
        <v>211</v>
      </c>
      <c r="Z91" s="58"/>
      <c r="AA91" s="58"/>
      <c r="AB91" s="73" t="s">
        <v>211</v>
      </c>
      <c r="AC91" s="59"/>
    </row>
    <row r="94" spans="24:29" x14ac:dyDescent="0.25">
      <c r="X94" s="11" t="s">
        <v>298</v>
      </c>
      <c r="Z94" s="11" t="s">
        <v>346</v>
      </c>
      <c r="AA94" s="11" t="s">
        <v>220</v>
      </c>
    </row>
    <row r="95" spans="24:29" x14ac:dyDescent="0.25">
      <c r="X95" s="4">
        <v>6</v>
      </c>
      <c r="Z95" s="11" t="s">
        <v>194</v>
      </c>
      <c r="AA95" s="11" t="s">
        <v>221</v>
      </c>
    </row>
    <row r="96" spans="24:29" x14ac:dyDescent="0.25">
      <c r="X96" s="4">
        <v>8</v>
      </c>
      <c r="Z96" s="11" t="s">
        <v>195</v>
      </c>
      <c r="AA96" s="11" t="s">
        <v>222</v>
      </c>
    </row>
    <row r="97" spans="24:27" x14ac:dyDescent="0.25">
      <c r="X97" s="4">
        <v>10</v>
      </c>
      <c r="Z97" s="11" t="s">
        <v>196</v>
      </c>
      <c r="AA97" s="11" t="s">
        <v>223</v>
      </c>
    </row>
    <row r="98" spans="24:27" x14ac:dyDescent="0.25">
      <c r="X98" s="4">
        <v>12</v>
      </c>
      <c r="Z98" s="11" t="s">
        <v>197</v>
      </c>
      <c r="AA98" s="11" t="s">
        <v>224</v>
      </c>
    </row>
    <row r="99" spans="24:27" x14ac:dyDescent="0.25">
      <c r="Z99" s="11" t="s">
        <v>198</v>
      </c>
      <c r="AA99" s="11" t="s">
        <v>225</v>
      </c>
    </row>
  </sheetData>
  <phoneticPr fontId="7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0C641-DE2D-4013-A576-280EA64A3D3D}">
  <sheetPr codeName="Foglio8"/>
  <dimension ref="A1:I89"/>
  <sheetViews>
    <sheetView topLeftCell="B7" zoomScale="70" zoomScaleNormal="70" workbookViewId="0">
      <selection activeCell="A12" sqref="A12:G17"/>
    </sheetView>
  </sheetViews>
  <sheetFormatPr defaultRowHeight="12.5" x14ac:dyDescent="0.25"/>
  <cols>
    <col min="1" max="1" width="38" bestFit="1" customWidth="1"/>
    <col min="2" max="2" width="39.1796875" customWidth="1"/>
    <col min="3" max="3" width="48.453125" customWidth="1"/>
    <col min="4" max="4" width="12.1796875" bestFit="1" customWidth="1"/>
    <col min="5" max="6" width="13.81640625" bestFit="1" customWidth="1"/>
    <col min="8" max="8" width="31.26953125" customWidth="1"/>
    <col min="9" max="9" width="32.7265625" customWidth="1"/>
  </cols>
  <sheetData>
    <row r="1" spans="1:9" ht="13" x14ac:dyDescent="0.3">
      <c r="A1" s="4"/>
      <c r="B1" s="15" t="s">
        <v>29</v>
      </c>
      <c r="C1" s="15" t="s">
        <v>30</v>
      </c>
      <c r="D1" s="15" t="s">
        <v>438</v>
      </c>
      <c r="E1" s="15" t="s">
        <v>343</v>
      </c>
      <c r="F1" s="15" t="s">
        <v>344</v>
      </c>
    </row>
    <row r="2" spans="1:9" ht="88" x14ac:dyDescent="0.3">
      <c r="A2" s="15" t="s">
        <v>141</v>
      </c>
      <c r="B2" s="14" t="str">
        <f>IF(Analisi_Voci!$D$7="Klima HP","adesivo minerale","adesivo&amp;rasante minerale")</f>
        <v>adesivo&amp;rasante minerale</v>
      </c>
      <c r="C2" s="14" t="str">
        <f>IF(Analisi_Voci!$D$7="Klima HP",I2,H2)</f>
        <v>L'adesivo&amp;rasante minerale, monocomponente, è specifico per la realizzazione di sistemi isolanti a cappotto, classe di reazione al fuoco A1 secondo EN 13501-1 e conducibilità termica (λ10, dry)=0,45 W/mK.</v>
      </c>
      <c r="D2" s="16"/>
      <c r="E2" s="4"/>
      <c r="F2" s="4"/>
      <c r="H2" s="14" t="s">
        <v>287</v>
      </c>
      <c r="I2" s="14" t="s">
        <v>572</v>
      </c>
    </row>
    <row r="3" spans="1:9" ht="88" x14ac:dyDescent="0.3">
      <c r="A3" s="15" t="s">
        <v>142</v>
      </c>
      <c r="B3" s="14" t="str">
        <f>IF(Analisi_Voci!$D$7="Klima HP","adesivo minerale","adesivo&amp;rasante minerale")</f>
        <v>adesivo&amp;rasante minerale</v>
      </c>
      <c r="C3" s="14" t="str">
        <f>IF(Analisi_Voci!$D$7="Klima HP",I3,H3)</f>
        <v>L'adesivo&amp;rasante minerale, monocomponente, è specifico per la realizzazione di sistemi isolanti a cappotto, classe di reazione al fuoco A1 secondo EN 13501-1 e conducibilità termica (λ10, dry)=0,45 W/mK.</v>
      </c>
      <c r="D3" s="16"/>
      <c r="E3" s="4"/>
      <c r="F3" s="4"/>
      <c r="H3" s="14" t="s">
        <v>287</v>
      </c>
      <c r="I3" s="14" t="s">
        <v>572</v>
      </c>
    </row>
    <row r="4" spans="1:9" ht="88" x14ac:dyDescent="0.3">
      <c r="A4" s="15" t="s">
        <v>143</v>
      </c>
      <c r="B4" s="14" t="str">
        <f>IF(Analisi_Voci!$D$7="Klima HP","adesivo minerale","adesivo&amp;rasante minerale")</f>
        <v>adesivo&amp;rasante minerale</v>
      </c>
      <c r="C4" s="14" t="str">
        <f>IF(Analisi_Voci!$D$7="Klima HP",I4,H4)</f>
        <v>L'adesivo&amp;rasante minerale, monocomponente, è specifico per la realizzazione di sistemi isolanti a cappotto, classe di reazione al fuoco A1 secondo EN 13501-1 e conducibilità termica (λ10, dry)=0,46 W/mK.</v>
      </c>
      <c r="D4" s="14"/>
      <c r="E4" s="4"/>
      <c r="F4" s="4"/>
      <c r="H4" s="14" t="s">
        <v>288</v>
      </c>
      <c r="I4" s="14" t="s">
        <v>572</v>
      </c>
    </row>
    <row r="5" spans="1:9" ht="88" x14ac:dyDescent="0.3">
      <c r="A5" s="15" t="s">
        <v>144</v>
      </c>
      <c r="B5" s="14" t="str">
        <f>IF(Analisi_Voci!$D$7="Klima HP","adesivo minerale","adesivo&amp;rasante minerale ad alte prestazioni")</f>
        <v>adesivo&amp;rasante minerale ad alte prestazioni</v>
      </c>
      <c r="C5" s="14" t="str">
        <f>IF(Analisi_Voci!$D$7="Klima HP",I5,H5)</f>
        <v>L'adesivo&amp;rasante minerale, monocomponente, è specifico per la realizzazione di sistemi isolanti a cappotto, classe di reazione al fuoco A2–s1, d0 secondo EN 13501-1 e conducibilità termica (λ10, dry)=0,44 W/mK.</v>
      </c>
      <c r="D5" s="4"/>
      <c r="E5" s="4"/>
      <c r="F5" s="4"/>
      <c r="H5" s="14" t="s">
        <v>289</v>
      </c>
      <c r="I5" s="14" t="s">
        <v>572</v>
      </c>
    </row>
    <row r="6" spans="1:9" ht="88" x14ac:dyDescent="0.3">
      <c r="A6" s="15" t="s">
        <v>146</v>
      </c>
      <c r="B6" s="14" t="str">
        <f>IF(Analisi_Voci!$D$7="Klima HP","adesivo minerale","adesivo&amp;rasante alleggerito minerale")</f>
        <v>adesivo&amp;rasante alleggerito minerale</v>
      </c>
      <c r="C6" s="14" t="str">
        <f>IF(Analisi_Voci!$D$7="Klima HP",I6,H6)</f>
        <v>L'adesivo&amp;rasante alleggerito minerale, monocomponente, è specifico per la realizzazione di sistemi isolanti a cappotto, classe di reazione al fuoco A1 secondo EN 13501-1 e conducibilità termica (λ10, dry)=0,27 W/mK.</v>
      </c>
      <c r="D6" s="11"/>
      <c r="E6" s="4"/>
      <c r="F6" s="4"/>
      <c r="H6" s="14" t="s">
        <v>290</v>
      </c>
      <c r="I6" s="14" t="s">
        <v>572</v>
      </c>
    </row>
    <row r="7" spans="1:9" ht="88" x14ac:dyDescent="0.3">
      <c r="A7" s="15" t="s">
        <v>147</v>
      </c>
      <c r="B7" s="11" t="str">
        <f>IF(Analisi_Voci!$D$7="Klima HP","adesivo minerale","adesivo&amp;rasante minerale")</f>
        <v>adesivo&amp;rasante minerale</v>
      </c>
      <c r="C7" s="14" t="str">
        <f>IF(Analisi_Voci!$D$7="Klima HP",I7,H7)</f>
        <v>L'adesivo&amp;rasante minerale, monocomponente, è specifico per la realizzazione di sistemi isolanti a cappotto, classe di reazione al fuoco A1 secondo EN 13501-1 e conducibilità termica (λ10, dry)=0,43 W/mK.</v>
      </c>
      <c r="D7" s="11"/>
      <c r="E7" s="4"/>
      <c r="F7" s="4"/>
      <c r="H7" s="14" t="s">
        <v>580</v>
      </c>
      <c r="I7" s="14" t="s">
        <v>572</v>
      </c>
    </row>
    <row r="8" spans="1:9" ht="88" x14ac:dyDescent="0.3">
      <c r="A8" s="15" t="s">
        <v>148</v>
      </c>
      <c r="B8" s="11" t="str">
        <f>IF(Analisi_Voci!$D$7="Klima HP","adesivo minerale","adesivo&amp;rasante minerale")</f>
        <v>adesivo&amp;rasante minerale</v>
      </c>
      <c r="C8" s="14" t="str">
        <f>IF(Analisi_Voci!$D$7="Klima HP",I8,H8)</f>
        <v>L'adesivo&amp;rasante minerale, monocomponente, è specifico per la realizzazione di sistemi isolanti a cappotto, classe di reazione al fuoco A1 secondo EN 13501-1 e conducibilità termica (λ10, dry)=0,43 W/mK.</v>
      </c>
      <c r="D8" s="11"/>
      <c r="E8" s="4"/>
      <c r="F8" s="4"/>
      <c r="H8" s="14" t="s">
        <v>580</v>
      </c>
      <c r="I8" s="14" t="s">
        <v>572</v>
      </c>
    </row>
    <row r="9" spans="1:9" ht="113" x14ac:dyDescent="0.3">
      <c r="A9" s="15" t="s">
        <v>145</v>
      </c>
      <c r="B9" s="11" t="str">
        <f>IF(Analisi_Voci!$D$7="Klima HP","adesivo minerale","adesivo&amp;rasante alleggerito minerale")</f>
        <v>adesivo&amp;rasante alleggerito minerale</v>
      </c>
      <c r="C9" s="14" t="str">
        <f>IF(Analisi_Voci!$D$7="Klima HP",I9,H9)</f>
        <v>L'adesivo&amp;rasante a base di pura calce idraulica naturale NHL 3.5, alleggerito minerale, monocomponente, è specifico per la realizzazione di sistemi isolanti a cappotto, classe di reazione al fuoco A1 secondo EN 13501-1 e conducibilità termica (λ10, dry)=0,28 W/mK.</v>
      </c>
      <c r="D9" s="11"/>
      <c r="E9" s="4"/>
      <c r="F9" s="4"/>
      <c r="H9" s="14" t="s">
        <v>291</v>
      </c>
      <c r="I9" s="14" t="s">
        <v>572</v>
      </c>
    </row>
    <row r="10" spans="1:9" ht="38" x14ac:dyDescent="0.3">
      <c r="A10" s="15" t="s">
        <v>7</v>
      </c>
      <c r="B10" s="14" t="s">
        <v>294</v>
      </c>
      <c r="C10" s="14" t="s">
        <v>295</v>
      </c>
      <c r="D10" s="4">
        <v>0.16</v>
      </c>
      <c r="E10" s="4"/>
      <c r="F10" s="4"/>
    </row>
    <row r="11" spans="1:9" ht="38" x14ac:dyDescent="0.3">
      <c r="A11" s="15" t="s">
        <v>9</v>
      </c>
      <c r="B11" s="14" t="s">
        <v>292</v>
      </c>
      <c r="C11" s="14" t="s">
        <v>293</v>
      </c>
      <c r="D11" s="4">
        <v>0.14499999999999999</v>
      </c>
      <c r="E11" s="4"/>
      <c r="F11" s="4"/>
    </row>
    <row r="12" spans="1:9" ht="50.5" x14ac:dyDescent="0.3">
      <c r="A12" s="15" t="s">
        <v>227</v>
      </c>
      <c r="B12" s="14" t="s">
        <v>506</v>
      </c>
      <c r="C12" s="14" t="s">
        <v>457</v>
      </c>
      <c r="D12" s="11">
        <f>16*0.03</f>
        <v>0.48</v>
      </c>
      <c r="E12" s="4"/>
      <c r="F12" s="4"/>
    </row>
    <row r="13" spans="1:9" ht="50.5" x14ac:dyDescent="0.3">
      <c r="A13" s="15" t="s">
        <v>228</v>
      </c>
      <c r="B13" s="14" t="s">
        <v>506</v>
      </c>
      <c r="C13" s="14" t="s">
        <v>458</v>
      </c>
      <c r="D13" s="4">
        <f>16*0.04</f>
        <v>0.64</v>
      </c>
      <c r="E13" s="4"/>
      <c r="F13" s="4"/>
    </row>
    <row r="14" spans="1:9" ht="50.5" x14ac:dyDescent="0.3">
      <c r="A14" s="15" t="s">
        <v>229</v>
      </c>
      <c r="B14" s="14" t="s">
        <v>506</v>
      </c>
      <c r="C14" s="14" t="s">
        <v>459</v>
      </c>
      <c r="D14" s="4">
        <f>16*0.05</f>
        <v>0.8</v>
      </c>
      <c r="E14" s="4"/>
      <c r="F14" s="4"/>
    </row>
    <row r="15" spans="1:9" ht="50.5" x14ac:dyDescent="0.3">
      <c r="A15" s="15" t="s">
        <v>230</v>
      </c>
      <c r="B15" s="14" t="s">
        <v>506</v>
      </c>
      <c r="C15" s="14" t="s">
        <v>460</v>
      </c>
      <c r="D15" s="4">
        <f>16*0.06</f>
        <v>0.96</v>
      </c>
      <c r="E15" s="4"/>
      <c r="F15" s="4"/>
    </row>
    <row r="16" spans="1:9" ht="50.5" x14ac:dyDescent="0.3">
      <c r="A16" s="15" t="s">
        <v>231</v>
      </c>
      <c r="B16" s="14" t="s">
        <v>506</v>
      </c>
      <c r="C16" s="14" t="s">
        <v>461</v>
      </c>
      <c r="D16" s="4">
        <f>16*0.08</f>
        <v>1.28</v>
      </c>
      <c r="E16" s="4"/>
      <c r="F16" s="4"/>
    </row>
    <row r="17" spans="1:6" ht="50.5" x14ac:dyDescent="0.3">
      <c r="A17" s="15" t="s">
        <v>232</v>
      </c>
      <c r="B17" s="14" t="s">
        <v>506</v>
      </c>
      <c r="C17" s="14" t="s">
        <v>462</v>
      </c>
      <c r="D17" s="4">
        <f>16*0.1</f>
        <v>1.6</v>
      </c>
      <c r="E17" s="4"/>
      <c r="F17" s="4"/>
    </row>
    <row r="18" spans="1:6" ht="50.5" x14ac:dyDescent="0.3">
      <c r="A18" s="15" t="s">
        <v>233</v>
      </c>
      <c r="B18" s="14" t="s">
        <v>506</v>
      </c>
      <c r="C18" s="14" t="s">
        <v>463</v>
      </c>
      <c r="D18" s="4">
        <f>16*0.12</f>
        <v>1.92</v>
      </c>
      <c r="E18" s="4"/>
      <c r="F18" s="4"/>
    </row>
    <row r="19" spans="1:6" ht="50.5" x14ac:dyDescent="0.3">
      <c r="A19" s="15" t="s">
        <v>234</v>
      </c>
      <c r="B19" s="14" t="s">
        <v>506</v>
      </c>
      <c r="C19" s="14" t="s">
        <v>464</v>
      </c>
      <c r="D19" s="4">
        <f>16*0.14</f>
        <v>2.2400000000000002</v>
      </c>
      <c r="E19" s="4"/>
      <c r="F19" s="4"/>
    </row>
    <row r="20" spans="1:6" ht="50.5" x14ac:dyDescent="0.3">
      <c r="A20" s="15" t="s">
        <v>235</v>
      </c>
      <c r="B20" s="14" t="s">
        <v>506</v>
      </c>
      <c r="C20" s="14" t="s">
        <v>465</v>
      </c>
      <c r="D20" s="4">
        <f>16*0.15</f>
        <v>2.4</v>
      </c>
      <c r="E20" s="4"/>
      <c r="F20" s="4"/>
    </row>
    <row r="21" spans="1:6" ht="50.5" x14ac:dyDescent="0.3">
      <c r="A21" s="15" t="s">
        <v>236</v>
      </c>
      <c r="B21" s="14" t="s">
        <v>506</v>
      </c>
      <c r="C21" s="14" t="s">
        <v>466</v>
      </c>
      <c r="D21" s="4">
        <f>16*0.16</f>
        <v>2.56</v>
      </c>
      <c r="E21" s="4"/>
      <c r="F21" s="4"/>
    </row>
    <row r="22" spans="1:6" ht="50.5" x14ac:dyDescent="0.3">
      <c r="A22" s="15" t="s">
        <v>237</v>
      </c>
      <c r="B22" s="14" t="s">
        <v>506</v>
      </c>
      <c r="C22" s="14" t="s">
        <v>467</v>
      </c>
      <c r="D22" s="4">
        <f>16*0.18</f>
        <v>2.88</v>
      </c>
      <c r="E22" s="4"/>
      <c r="F22" s="4"/>
    </row>
    <row r="23" spans="1:6" ht="50.5" x14ac:dyDescent="0.3">
      <c r="A23" s="15" t="s">
        <v>238</v>
      </c>
      <c r="B23" s="14" t="s">
        <v>506</v>
      </c>
      <c r="C23" s="14" t="s">
        <v>468</v>
      </c>
      <c r="D23" s="4">
        <f>16*0.2</f>
        <v>3.2</v>
      </c>
      <c r="E23" s="4"/>
      <c r="F23" s="4"/>
    </row>
    <row r="24" spans="1:6" ht="50.5" x14ac:dyDescent="0.3">
      <c r="A24" s="15" t="s">
        <v>239</v>
      </c>
      <c r="B24" s="14" t="s">
        <v>514</v>
      </c>
      <c r="C24" s="14" t="s">
        <v>469</v>
      </c>
      <c r="D24" s="4">
        <f>16*0.03</f>
        <v>0.48</v>
      </c>
      <c r="E24" s="4"/>
      <c r="F24" s="4"/>
    </row>
    <row r="25" spans="1:6" ht="50.5" x14ac:dyDescent="0.3">
      <c r="A25" s="15" t="s">
        <v>240</v>
      </c>
      <c r="B25" s="14" t="s">
        <v>514</v>
      </c>
      <c r="C25" s="14" t="s">
        <v>470</v>
      </c>
      <c r="D25" s="4">
        <f>16*0.04</f>
        <v>0.64</v>
      </c>
      <c r="E25" s="4"/>
      <c r="F25" s="4"/>
    </row>
    <row r="26" spans="1:6" ht="50.5" x14ac:dyDescent="0.3">
      <c r="A26" s="15" t="s">
        <v>241</v>
      </c>
      <c r="B26" s="14" t="s">
        <v>514</v>
      </c>
      <c r="C26" s="14" t="s">
        <v>471</v>
      </c>
      <c r="D26" s="4">
        <f>16*0.05</f>
        <v>0.8</v>
      </c>
      <c r="E26" s="4"/>
      <c r="F26" s="4"/>
    </row>
    <row r="27" spans="1:6" ht="50.5" x14ac:dyDescent="0.3">
      <c r="A27" s="15" t="s">
        <v>242</v>
      </c>
      <c r="B27" s="14" t="s">
        <v>514</v>
      </c>
      <c r="C27" s="14" t="s">
        <v>472</v>
      </c>
      <c r="D27" s="4">
        <f>16*0.06</f>
        <v>0.96</v>
      </c>
      <c r="E27" s="4"/>
      <c r="F27" s="4"/>
    </row>
    <row r="28" spans="1:6" ht="50.5" x14ac:dyDescent="0.3">
      <c r="A28" s="15" t="s">
        <v>243</v>
      </c>
      <c r="B28" s="14" t="s">
        <v>514</v>
      </c>
      <c r="C28" s="14" t="s">
        <v>473</v>
      </c>
      <c r="D28" s="4">
        <f>16*0.08</f>
        <v>1.28</v>
      </c>
      <c r="E28" s="4"/>
      <c r="F28" s="4"/>
    </row>
    <row r="29" spans="1:6" ht="50.5" x14ac:dyDescent="0.3">
      <c r="A29" s="15" t="s">
        <v>244</v>
      </c>
      <c r="B29" s="14" t="s">
        <v>514</v>
      </c>
      <c r="C29" s="14" t="s">
        <v>474</v>
      </c>
      <c r="D29" s="4">
        <f>16*0.1</f>
        <v>1.6</v>
      </c>
      <c r="E29" s="4"/>
      <c r="F29" s="4"/>
    </row>
    <row r="30" spans="1:6" ht="50.5" x14ac:dyDescent="0.3">
      <c r="A30" s="15" t="s">
        <v>245</v>
      </c>
      <c r="B30" s="14" t="s">
        <v>514</v>
      </c>
      <c r="C30" s="14" t="s">
        <v>475</v>
      </c>
      <c r="D30" s="4">
        <f>16*0.12</f>
        <v>1.92</v>
      </c>
      <c r="E30" s="4"/>
      <c r="F30" s="4"/>
    </row>
    <row r="31" spans="1:6" ht="50.5" x14ac:dyDescent="0.3">
      <c r="A31" s="15" t="s">
        <v>246</v>
      </c>
      <c r="B31" s="14" t="s">
        <v>514</v>
      </c>
      <c r="C31" s="14" t="s">
        <v>476</v>
      </c>
      <c r="D31" s="4">
        <f>16*0.14</f>
        <v>2.2400000000000002</v>
      </c>
      <c r="E31" s="4"/>
      <c r="F31" s="4"/>
    </row>
    <row r="32" spans="1:6" ht="63" x14ac:dyDescent="0.3">
      <c r="A32" s="15" t="s">
        <v>247</v>
      </c>
      <c r="B32" s="14" t="s">
        <v>507</v>
      </c>
      <c r="C32" s="14" t="s">
        <v>474</v>
      </c>
      <c r="D32" s="4">
        <f>16*0.1</f>
        <v>1.6</v>
      </c>
      <c r="E32" s="4"/>
      <c r="F32" s="4"/>
    </row>
    <row r="33" spans="1:6" ht="63" x14ac:dyDescent="0.3">
      <c r="A33" s="15" t="s">
        <v>248</v>
      </c>
      <c r="B33" s="14" t="s">
        <v>507</v>
      </c>
      <c r="C33" s="14" t="s">
        <v>475</v>
      </c>
      <c r="D33" s="4">
        <f>16*0.12</f>
        <v>1.92</v>
      </c>
      <c r="E33" s="4"/>
      <c r="F33" s="4"/>
    </row>
    <row r="34" spans="1:6" ht="63" x14ac:dyDescent="0.3">
      <c r="A34" s="15" t="s">
        <v>249</v>
      </c>
      <c r="B34" s="14" t="s">
        <v>507</v>
      </c>
      <c r="C34" s="14" t="s">
        <v>476</v>
      </c>
      <c r="D34" s="4">
        <f>16*0.14</f>
        <v>2.2400000000000002</v>
      </c>
      <c r="E34" s="4"/>
      <c r="F34" s="4"/>
    </row>
    <row r="35" spans="1:6" ht="63" x14ac:dyDescent="0.3">
      <c r="A35" s="15" t="s">
        <v>250</v>
      </c>
      <c r="B35" s="14" t="s">
        <v>507</v>
      </c>
      <c r="C35" s="14" t="s">
        <v>477</v>
      </c>
      <c r="D35" s="4">
        <f>16*0.15</f>
        <v>2.4</v>
      </c>
      <c r="E35" s="4"/>
      <c r="F35" s="4"/>
    </row>
    <row r="36" spans="1:6" ht="63" x14ac:dyDescent="0.3">
      <c r="A36" s="15" t="s">
        <v>251</v>
      </c>
      <c r="B36" s="14" t="s">
        <v>507</v>
      </c>
      <c r="C36" s="14" t="s">
        <v>478</v>
      </c>
      <c r="D36" s="4">
        <f>16*0.16</f>
        <v>2.56</v>
      </c>
      <c r="E36" s="4"/>
      <c r="F36" s="4"/>
    </row>
    <row r="37" spans="1:6" ht="63" x14ac:dyDescent="0.3">
      <c r="A37" s="15" t="s">
        <v>252</v>
      </c>
      <c r="B37" s="14" t="s">
        <v>507</v>
      </c>
      <c r="C37" s="14" t="s">
        <v>479</v>
      </c>
      <c r="D37" s="4">
        <f>16*0.18</f>
        <v>2.88</v>
      </c>
      <c r="E37" s="4"/>
      <c r="F37" s="4"/>
    </row>
    <row r="38" spans="1:6" ht="63" x14ac:dyDescent="0.3">
      <c r="A38" s="15" t="s">
        <v>253</v>
      </c>
      <c r="B38" s="14" t="s">
        <v>507</v>
      </c>
      <c r="C38" s="14" t="s">
        <v>480</v>
      </c>
      <c r="D38" s="4">
        <f>16*0.2</f>
        <v>3.2</v>
      </c>
      <c r="E38" s="4"/>
      <c r="F38" s="4"/>
    </row>
    <row r="39" spans="1:6" ht="63" x14ac:dyDescent="0.3">
      <c r="A39" s="15" t="s">
        <v>254</v>
      </c>
      <c r="B39" s="14" t="s">
        <v>508</v>
      </c>
      <c r="C39" s="14" t="s">
        <v>481</v>
      </c>
      <c r="D39" s="4">
        <f>18*0.08</f>
        <v>1.44</v>
      </c>
      <c r="E39" s="4"/>
      <c r="F39" s="4"/>
    </row>
    <row r="40" spans="1:6" ht="63" x14ac:dyDescent="0.3">
      <c r="A40" s="15" t="s">
        <v>255</v>
      </c>
      <c r="B40" s="14" t="s">
        <v>508</v>
      </c>
      <c r="C40" s="14" t="s">
        <v>482</v>
      </c>
      <c r="D40" s="4">
        <f>18*0.1</f>
        <v>1.8</v>
      </c>
      <c r="E40" s="4"/>
      <c r="F40" s="4"/>
    </row>
    <row r="41" spans="1:6" ht="63" x14ac:dyDescent="0.3">
      <c r="A41" s="15" t="s">
        <v>256</v>
      </c>
      <c r="B41" s="14" t="s">
        <v>508</v>
      </c>
      <c r="C41" s="14" t="s">
        <v>483</v>
      </c>
      <c r="D41" s="4">
        <f>18*0.12</f>
        <v>2.16</v>
      </c>
      <c r="E41" s="4"/>
      <c r="F41" s="4"/>
    </row>
    <row r="42" spans="1:6" ht="63" x14ac:dyDescent="0.3">
      <c r="A42" s="15" t="s">
        <v>257</v>
      </c>
      <c r="B42" s="14" t="s">
        <v>508</v>
      </c>
      <c r="C42" s="14" t="s">
        <v>484</v>
      </c>
      <c r="D42" s="4">
        <f>18*0.14</f>
        <v>2.5200000000000005</v>
      </c>
      <c r="E42" s="4"/>
      <c r="F42" s="4"/>
    </row>
    <row r="43" spans="1:6" ht="63" x14ac:dyDescent="0.3">
      <c r="A43" s="15" t="s">
        <v>258</v>
      </c>
      <c r="B43" s="14" t="s">
        <v>508</v>
      </c>
      <c r="C43" s="14" t="s">
        <v>485</v>
      </c>
      <c r="D43" s="4">
        <f>18*0.16</f>
        <v>2.88</v>
      </c>
      <c r="E43" s="4"/>
      <c r="F43" s="4"/>
    </row>
    <row r="44" spans="1:6" ht="63" x14ac:dyDescent="0.3">
      <c r="A44" s="15" t="s">
        <v>259</v>
      </c>
      <c r="B44" s="14" t="s">
        <v>508</v>
      </c>
      <c r="C44" s="14" t="s">
        <v>486</v>
      </c>
      <c r="D44" s="4">
        <f>18*0.18</f>
        <v>3.2399999999999998</v>
      </c>
      <c r="E44" s="4"/>
      <c r="F44" s="4"/>
    </row>
    <row r="45" spans="1:6" ht="63" x14ac:dyDescent="0.3">
      <c r="A45" s="15" t="s">
        <v>260</v>
      </c>
      <c r="B45" s="14" t="s">
        <v>508</v>
      </c>
      <c r="C45" s="14" t="s">
        <v>487</v>
      </c>
      <c r="D45" s="4">
        <f>18*0.2</f>
        <v>3.6</v>
      </c>
      <c r="E45" s="4"/>
      <c r="F45" s="4"/>
    </row>
    <row r="46" spans="1:6" ht="63.5" x14ac:dyDescent="0.3">
      <c r="A46" s="15" t="s">
        <v>261</v>
      </c>
      <c r="B46" s="14" t="s">
        <v>509</v>
      </c>
      <c r="C46" s="14" t="s">
        <v>488</v>
      </c>
      <c r="D46" s="4">
        <f>105*0.05</f>
        <v>5.25</v>
      </c>
      <c r="E46" s="4"/>
      <c r="F46" s="4"/>
    </row>
    <row r="47" spans="1:6" ht="63.5" x14ac:dyDescent="0.3">
      <c r="A47" s="15" t="s">
        <v>262</v>
      </c>
      <c r="B47" s="14" t="s">
        <v>509</v>
      </c>
      <c r="C47" s="14" t="s">
        <v>489</v>
      </c>
      <c r="D47" s="4">
        <f>105*0.06</f>
        <v>6.3</v>
      </c>
      <c r="E47" s="4"/>
      <c r="F47" s="4"/>
    </row>
    <row r="48" spans="1:6" ht="63.5" x14ac:dyDescent="0.3">
      <c r="A48" s="15" t="s">
        <v>263</v>
      </c>
      <c r="B48" s="14" t="s">
        <v>509</v>
      </c>
      <c r="C48" s="14" t="s">
        <v>490</v>
      </c>
      <c r="D48" s="4">
        <f>105*0.08</f>
        <v>8.4</v>
      </c>
      <c r="E48" s="4"/>
      <c r="F48" s="4"/>
    </row>
    <row r="49" spans="1:6" ht="63.5" x14ac:dyDescent="0.3">
      <c r="A49" s="15" t="s">
        <v>264</v>
      </c>
      <c r="B49" s="14" t="s">
        <v>509</v>
      </c>
      <c r="C49" s="14" t="s">
        <v>491</v>
      </c>
      <c r="D49" s="4">
        <f>105*0.1</f>
        <v>10.5</v>
      </c>
      <c r="E49" s="4"/>
      <c r="F49" s="4"/>
    </row>
    <row r="50" spans="1:6" ht="63.5" x14ac:dyDescent="0.3">
      <c r="A50" s="15" t="s">
        <v>265</v>
      </c>
      <c r="B50" s="14" t="s">
        <v>509</v>
      </c>
      <c r="C50" s="14" t="s">
        <v>492</v>
      </c>
      <c r="D50" s="4">
        <f>105*0.12</f>
        <v>12.6</v>
      </c>
      <c r="E50" s="4"/>
      <c r="F50" s="4"/>
    </row>
    <row r="51" spans="1:6" ht="63.5" x14ac:dyDescent="0.3">
      <c r="A51" s="15" t="s">
        <v>266</v>
      </c>
      <c r="B51" s="14" t="s">
        <v>509</v>
      </c>
      <c r="C51" s="14" t="s">
        <v>493</v>
      </c>
      <c r="D51" s="4">
        <f>105*0.14</f>
        <v>14.700000000000001</v>
      </c>
      <c r="E51" s="4"/>
      <c r="F51" s="4"/>
    </row>
    <row r="52" spans="1:6" ht="63.5" x14ac:dyDescent="0.3">
      <c r="A52" s="15" t="s">
        <v>267</v>
      </c>
      <c r="B52" s="14" t="s">
        <v>509</v>
      </c>
      <c r="C52" s="14" t="s">
        <v>494</v>
      </c>
      <c r="D52" s="4">
        <f>105*0.16</f>
        <v>16.8</v>
      </c>
      <c r="E52" s="4"/>
      <c r="F52" s="4"/>
    </row>
    <row r="53" spans="1:6" ht="63.5" x14ac:dyDescent="0.3">
      <c r="A53" s="15" t="s">
        <v>268</v>
      </c>
      <c r="B53" s="14" t="s">
        <v>509</v>
      </c>
      <c r="C53" s="14" t="s">
        <v>495</v>
      </c>
      <c r="D53" s="4">
        <f>105*0.18</f>
        <v>18.899999999999999</v>
      </c>
      <c r="E53" s="4"/>
      <c r="F53" s="4"/>
    </row>
    <row r="54" spans="1:6" ht="63.5" x14ac:dyDescent="0.3">
      <c r="A54" s="15" t="s">
        <v>269</v>
      </c>
      <c r="B54" s="14" t="s">
        <v>509</v>
      </c>
      <c r="C54" s="14" t="s">
        <v>496</v>
      </c>
      <c r="D54" s="4">
        <f>105*0.2</f>
        <v>21</v>
      </c>
      <c r="E54" s="4"/>
      <c r="F54" s="4"/>
    </row>
    <row r="55" spans="1:6" ht="63.5" x14ac:dyDescent="0.3">
      <c r="A55" s="15" t="s">
        <v>270</v>
      </c>
      <c r="B55" s="14" t="s">
        <v>509</v>
      </c>
      <c r="C55" s="14" t="s">
        <v>497</v>
      </c>
      <c r="D55" s="4">
        <f>90*0.05</f>
        <v>4.5</v>
      </c>
      <c r="E55" s="4"/>
      <c r="F55" s="4"/>
    </row>
    <row r="56" spans="1:6" ht="63.5" x14ac:dyDescent="0.3">
      <c r="A56" s="15" t="s">
        <v>271</v>
      </c>
      <c r="B56" s="14" t="s">
        <v>509</v>
      </c>
      <c r="C56" s="14" t="s">
        <v>498</v>
      </c>
      <c r="D56" s="4">
        <f>90*0.06</f>
        <v>5.3999999999999995</v>
      </c>
      <c r="E56" s="4"/>
      <c r="F56" s="4"/>
    </row>
    <row r="57" spans="1:6" ht="63.5" x14ac:dyDescent="0.3">
      <c r="A57" s="15" t="s">
        <v>272</v>
      </c>
      <c r="B57" s="14" t="s">
        <v>509</v>
      </c>
      <c r="C57" s="14" t="s">
        <v>499</v>
      </c>
      <c r="D57" s="4">
        <f>90*0.08</f>
        <v>7.2</v>
      </c>
      <c r="E57" s="4"/>
      <c r="F57" s="4"/>
    </row>
    <row r="58" spans="1:6" ht="63.5" x14ac:dyDescent="0.3">
      <c r="A58" s="15" t="s">
        <v>273</v>
      </c>
      <c r="B58" s="14" t="s">
        <v>509</v>
      </c>
      <c r="C58" s="14" t="s">
        <v>500</v>
      </c>
      <c r="D58" s="4">
        <f>90*0.1</f>
        <v>9</v>
      </c>
      <c r="E58" s="4"/>
      <c r="F58" s="4"/>
    </row>
    <row r="59" spans="1:6" ht="63.5" x14ac:dyDescent="0.3">
      <c r="A59" s="15" t="s">
        <v>274</v>
      </c>
      <c r="B59" s="14" t="s">
        <v>509</v>
      </c>
      <c r="C59" s="14" t="s">
        <v>501</v>
      </c>
      <c r="D59" s="4">
        <f>90*0.12</f>
        <v>10.799999999999999</v>
      </c>
      <c r="E59" s="4"/>
      <c r="F59" s="4"/>
    </row>
    <row r="60" spans="1:6" ht="63.5" x14ac:dyDescent="0.3">
      <c r="A60" s="15" t="s">
        <v>275</v>
      </c>
      <c r="B60" s="14" t="s">
        <v>509</v>
      </c>
      <c r="C60" s="14" t="s">
        <v>502</v>
      </c>
      <c r="D60" s="4">
        <f>90*0.14</f>
        <v>12.600000000000001</v>
      </c>
      <c r="E60" s="4"/>
      <c r="F60" s="4"/>
    </row>
    <row r="61" spans="1:6" ht="63.5" x14ac:dyDescent="0.3">
      <c r="A61" s="15" t="s">
        <v>276</v>
      </c>
      <c r="B61" s="14" t="s">
        <v>509</v>
      </c>
      <c r="C61" s="14" t="s">
        <v>503</v>
      </c>
      <c r="D61" s="4">
        <f>90*0.16</f>
        <v>14.4</v>
      </c>
      <c r="E61" s="4"/>
      <c r="F61" s="4"/>
    </row>
    <row r="62" spans="1:6" ht="63.5" x14ac:dyDescent="0.3">
      <c r="A62" s="15" t="s">
        <v>277</v>
      </c>
      <c r="B62" s="14" t="s">
        <v>509</v>
      </c>
      <c r="C62" s="14" t="s">
        <v>504</v>
      </c>
      <c r="D62" s="4">
        <f>90*0.18</f>
        <v>16.2</v>
      </c>
      <c r="E62" s="4"/>
      <c r="F62" s="4"/>
    </row>
    <row r="63" spans="1:6" ht="63.5" x14ac:dyDescent="0.3">
      <c r="A63" s="15" t="s">
        <v>278</v>
      </c>
      <c r="B63" s="14" t="s">
        <v>509</v>
      </c>
      <c r="C63" s="14" t="s">
        <v>505</v>
      </c>
      <c r="D63" s="4">
        <f>90*0.2</f>
        <v>18</v>
      </c>
      <c r="E63" s="4"/>
      <c r="F63" s="4"/>
    </row>
    <row r="64" spans="1:6" ht="13" x14ac:dyDescent="0.3">
      <c r="A64" s="15" t="s">
        <v>346</v>
      </c>
      <c r="B64" s="11" t="s">
        <v>280</v>
      </c>
      <c r="C64" s="4"/>
      <c r="D64" s="4"/>
      <c r="E64" s="4"/>
      <c r="F64" s="4"/>
    </row>
    <row r="65" spans="1:6" ht="13" x14ac:dyDescent="0.3">
      <c r="A65" s="15" t="s">
        <v>194</v>
      </c>
      <c r="B65" s="11" t="s">
        <v>281</v>
      </c>
      <c r="C65" s="4"/>
      <c r="D65" s="4"/>
      <c r="E65" s="4"/>
      <c r="F65" s="4"/>
    </row>
    <row r="66" spans="1:6" ht="13" x14ac:dyDescent="0.3">
      <c r="A66" s="15" t="s">
        <v>195</v>
      </c>
      <c r="B66" s="11" t="s">
        <v>282</v>
      </c>
      <c r="C66" s="4"/>
      <c r="D66" s="4"/>
      <c r="E66" s="4"/>
      <c r="F66" s="4"/>
    </row>
    <row r="67" spans="1:6" ht="13" x14ac:dyDescent="0.3">
      <c r="A67" s="15" t="s">
        <v>196</v>
      </c>
      <c r="B67" s="11" t="s">
        <v>279</v>
      </c>
      <c r="C67" s="4"/>
      <c r="D67" s="4"/>
      <c r="E67" s="4"/>
      <c r="F67" s="4"/>
    </row>
    <row r="68" spans="1:6" ht="13" x14ac:dyDescent="0.3">
      <c r="A68" s="15" t="s">
        <v>197</v>
      </c>
      <c r="B68" s="11" t="s">
        <v>281</v>
      </c>
      <c r="C68" s="4"/>
      <c r="D68" s="4"/>
      <c r="E68" s="4"/>
      <c r="F68" s="4"/>
    </row>
    <row r="69" spans="1:6" ht="13" x14ac:dyDescent="0.3">
      <c r="A69" s="15" t="s">
        <v>198</v>
      </c>
      <c r="B69" s="11" t="s">
        <v>282</v>
      </c>
      <c r="C69" s="4"/>
      <c r="D69" s="4"/>
      <c r="E69" s="4"/>
      <c r="F69" s="4"/>
    </row>
    <row r="70" spans="1:6" ht="13" x14ac:dyDescent="0.3">
      <c r="A70" s="15" t="s">
        <v>177</v>
      </c>
      <c r="B70" s="11" t="s">
        <v>283</v>
      </c>
      <c r="C70" s="4"/>
      <c r="D70" s="4"/>
      <c r="E70" s="4"/>
      <c r="F70" s="4"/>
    </row>
    <row r="71" spans="1:6" ht="13" x14ac:dyDescent="0.3">
      <c r="A71" s="15" t="s">
        <v>163</v>
      </c>
      <c r="B71" s="11" t="s">
        <v>284</v>
      </c>
      <c r="C71" s="4"/>
      <c r="D71" s="4"/>
      <c r="E71" s="4"/>
      <c r="F71" s="4"/>
    </row>
    <row r="72" spans="1:6" ht="13" x14ac:dyDescent="0.3">
      <c r="A72" s="15" t="s">
        <v>178</v>
      </c>
      <c r="B72" s="11" t="s">
        <v>285</v>
      </c>
      <c r="C72" s="4"/>
      <c r="D72" s="4"/>
      <c r="E72" s="4"/>
      <c r="F72" s="4"/>
    </row>
    <row r="73" spans="1:6" ht="113" x14ac:dyDescent="0.3">
      <c r="A73" s="15" t="s">
        <v>164</v>
      </c>
      <c r="B73" s="11" t="s">
        <v>286</v>
      </c>
      <c r="C73" s="14" t="s">
        <v>510</v>
      </c>
      <c r="D73" s="4"/>
      <c r="E73" s="4"/>
      <c r="F73" s="4"/>
    </row>
    <row r="74" spans="1:6" ht="138" x14ac:dyDescent="0.3">
      <c r="A74" s="15" t="s">
        <v>165</v>
      </c>
      <c r="B74" s="11" t="s">
        <v>286</v>
      </c>
      <c r="C74" s="14" t="s">
        <v>511</v>
      </c>
      <c r="D74" s="4"/>
      <c r="E74" s="4"/>
      <c r="F74" s="4"/>
    </row>
    <row r="75" spans="1:6" ht="88" x14ac:dyDescent="0.3">
      <c r="A75" s="15" t="s">
        <v>180</v>
      </c>
      <c r="B75" s="11" t="s">
        <v>286</v>
      </c>
      <c r="C75" s="14" t="s">
        <v>513</v>
      </c>
      <c r="D75" s="4"/>
      <c r="E75" s="4"/>
      <c r="F75" s="4"/>
    </row>
    <row r="76" spans="1:6" ht="125.5" x14ac:dyDescent="0.3">
      <c r="A76" s="15" t="s">
        <v>179</v>
      </c>
      <c r="B76" s="11" t="s">
        <v>286</v>
      </c>
      <c r="C76" s="14" t="s">
        <v>512</v>
      </c>
      <c r="D76" s="4"/>
      <c r="E76" s="4"/>
      <c r="F76" s="4"/>
    </row>
    <row r="77" spans="1:6" ht="50.5" x14ac:dyDescent="0.3">
      <c r="A77" s="98" t="s">
        <v>536</v>
      </c>
      <c r="B77" s="110" t="s">
        <v>548</v>
      </c>
      <c r="C77" s="110" t="s">
        <v>549</v>
      </c>
      <c r="D77">
        <f>0.23*4</f>
        <v>0.92</v>
      </c>
    </row>
    <row r="78" spans="1:6" ht="50.5" x14ac:dyDescent="0.3">
      <c r="A78" s="98" t="s">
        <v>537</v>
      </c>
      <c r="B78" s="110" t="s">
        <v>548</v>
      </c>
      <c r="C78" s="110" t="s">
        <v>550</v>
      </c>
      <c r="D78">
        <f>0.23*5</f>
        <v>1.1500000000000001</v>
      </c>
    </row>
    <row r="79" spans="1:6" ht="50.5" x14ac:dyDescent="0.3">
      <c r="A79" s="98" t="s">
        <v>538</v>
      </c>
      <c r="B79" s="110" t="s">
        <v>548</v>
      </c>
      <c r="C79" s="110" t="s">
        <v>551</v>
      </c>
      <c r="D79">
        <f>0.23*6</f>
        <v>1.3800000000000001</v>
      </c>
    </row>
    <row r="80" spans="1:6" ht="50.5" x14ac:dyDescent="0.3">
      <c r="A80" s="98" t="s">
        <v>539</v>
      </c>
      <c r="B80" s="110" t="s">
        <v>548</v>
      </c>
      <c r="C80" s="110" t="s">
        <v>552</v>
      </c>
      <c r="D80">
        <f>0.23*8</f>
        <v>1.84</v>
      </c>
    </row>
    <row r="81" spans="1:4" ht="50.5" x14ac:dyDescent="0.3">
      <c r="A81" s="98" t="s">
        <v>540</v>
      </c>
      <c r="B81" s="110" t="s">
        <v>548</v>
      </c>
      <c r="C81" s="110" t="s">
        <v>553</v>
      </c>
      <c r="D81">
        <f>0.23*10</f>
        <v>2.3000000000000003</v>
      </c>
    </row>
    <row r="82" spans="1:4" ht="50.5" x14ac:dyDescent="0.3">
      <c r="A82" s="98" t="s">
        <v>541</v>
      </c>
      <c r="B82" s="110" t="s">
        <v>548</v>
      </c>
      <c r="C82" s="110" t="s">
        <v>554</v>
      </c>
      <c r="D82">
        <f>0.23*12</f>
        <v>2.7600000000000002</v>
      </c>
    </row>
    <row r="83" spans="1:4" ht="50.5" x14ac:dyDescent="0.3">
      <c r="A83" s="98" t="s">
        <v>542</v>
      </c>
      <c r="B83" s="110" t="s">
        <v>548</v>
      </c>
      <c r="C83" s="110" t="s">
        <v>555</v>
      </c>
      <c r="D83">
        <f>0.23*14</f>
        <v>3.22</v>
      </c>
    </row>
    <row r="84" spans="1:4" ht="50.5" x14ac:dyDescent="0.3">
      <c r="A84" s="98" t="s">
        <v>543</v>
      </c>
      <c r="B84" s="110" t="s">
        <v>548</v>
      </c>
      <c r="C84" s="110" t="s">
        <v>556</v>
      </c>
      <c r="D84">
        <f>0.23*15</f>
        <v>3.45</v>
      </c>
    </row>
    <row r="85" spans="1:4" ht="50.5" x14ac:dyDescent="0.3">
      <c r="A85" s="98" t="s">
        <v>544</v>
      </c>
      <c r="B85" s="110" t="s">
        <v>548</v>
      </c>
      <c r="C85" s="110" t="s">
        <v>557</v>
      </c>
      <c r="D85">
        <f>0.23*16</f>
        <v>3.68</v>
      </c>
    </row>
    <row r="86" spans="1:4" ht="50.5" x14ac:dyDescent="0.3">
      <c r="A86" s="98" t="s">
        <v>545</v>
      </c>
      <c r="B86" s="110" t="s">
        <v>548</v>
      </c>
      <c r="C86" s="110" t="s">
        <v>558</v>
      </c>
      <c r="D86">
        <f>0.23*18</f>
        <v>4.1400000000000006</v>
      </c>
    </row>
    <row r="87" spans="1:4" ht="50.5" x14ac:dyDescent="0.3">
      <c r="A87" s="98" t="s">
        <v>546</v>
      </c>
      <c r="B87" s="110" t="s">
        <v>548</v>
      </c>
      <c r="C87" s="110" t="s">
        <v>559</v>
      </c>
      <c r="D87">
        <f>0.23*20</f>
        <v>4.6000000000000005</v>
      </c>
    </row>
    <row r="88" spans="1:4" ht="50.5" x14ac:dyDescent="0.3">
      <c r="A88" s="98" t="s">
        <v>547</v>
      </c>
      <c r="B88" s="110" t="s">
        <v>548</v>
      </c>
      <c r="C88" s="110" t="s">
        <v>560</v>
      </c>
      <c r="D88">
        <f>0.23*22</f>
        <v>5.0600000000000005</v>
      </c>
    </row>
    <row r="89" spans="1:4" ht="63" x14ac:dyDescent="0.3">
      <c r="A89" s="131" t="s">
        <v>566</v>
      </c>
      <c r="B89" s="110" t="s">
        <v>573</v>
      </c>
      <c r="C89" s="14" t="s">
        <v>567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EB7CA-1552-459B-A8C2-D4EA1C6A1825}">
  <sheetPr codeName="Foglio9"/>
  <dimension ref="B1:W25"/>
  <sheetViews>
    <sheetView topLeftCell="V1" zoomScale="90" zoomScaleNormal="90" workbookViewId="0">
      <selection activeCell="A12" sqref="A12:G17"/>
    </sheetView>
  </sheetViews>
  <sheetFormatPr defaultRowHeight="12.5" x14ac:dyDescent="0.25"/>
  <cols>
    <col min="1" max="1" width="5.1796875" customWidth="1"/>
    <col min="2" max="2" width="43.6328125" customWidth="1"/>
    <col min="3" max="3" width="7.1796875" customWidth="1"/>
    <col min="4" max="4" width="53.6328125" bestFit="1" customWidth="1"/>
    <col min="5" max="5" width="54.453125" bestFit="1" customWidth="1"/>
    <col min="6" max="6" width="59.453125" customWidth="1"/>
    <col min="7" max="7" width="55.54296875" bestFit="1" customWidth="1"/>
    <col min="8" max="8" width="60.08984375" bestFit="1" customWidth="1"/>
    <col min="9" max="9" width="25.26953125" hidden="1" customWidth="1"/>
    <col min="10" max="10" width="31.6328125" hidden="1" customWidth="1"/>
    <col min="11" max="11" width="23.08984375" hidden="1" customWidth="1"/>
    <col min="12" max="12" width="18.6328125" hidden="1" customWidth="1"/>
    <col min="13" max="13" width="29.1796875" hidden="1" customWidth="1"/>
    <col min="14" max="14" width="20.1796875" hidden="1" customWidth="1"/>
    <col min="15" max="15" width="19.81640625" hidden="1" customWidth="1"/>
    <col min="16" max="16" width="26.6328125" hidden="1" customWidth="1"/>
    <col min="17" max="17" width="20.1796875" hidden="1" customWidth="1"/>
    <col min="18" max="18" width="20.90625" hidden="1" customWidth="1"/>
    <col min="19" max="19" width="19" hidden="1" customWidth="1"/>
    <col min="20" max="20" width="17.1796875" hidden="1" customWidth="1"/>
    <col min="22" max="22" width="59.54296875" bestFit="1" customWidth="1"/>
    <col min="23" max="23" width="15.1796875" bestFit="1" customWidth="1"/>
  </cols>
  <sheetData>
    <row r="1" spans="2:23" ht="13" thickBot="1" x14ac:dyDescent="0.3"/>
    <row r="2" spans="2:23" ht="13" x14ac:dyDescent="0.3">
      <c r="B2" s="38" t="s">
        <v>153</v>
      </c>
      <c r="C2" s="9" t="s">
        <v>20</v>
      </c>
      <c r="D2" s="9" t="s">
        <v>31</v>
      </c>
      <c r="E2" s="9" t="s">
        <v>32</v>
      </c>
      <c r="F2" s="9" t="s">
        <v>33</v>
      </c>
      <c r="G2" s="9" t="s">
        <v>34</v>
      </c>
      <c r="H2" s="9" t="s">
        <v>35</v>
      </c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V2" s="62" t="s">
        <v>29</v>
      </c>
      <c r="W2" s="63" t="s">
        <v>36</v>
      </c>
    </row>
    <row r="3" spans="2:23" ht="13" x14ac:dyDescent="0.3">
      <c r="B3" s="69" t="str">
        <f>Titolo_descrizione!B3</f>
        <v>KLIMAEXPERT ETA EPS AIR</v>
      </c>
      <c r="C3" s="5">
        <v>1</v>
      </c>
      <c r="D3" s="10" t="s">
        <v>304</v>
      </c>
      <c r="E3" s="10" t="s">
        <v>154</v>
      </c>
      <c r="F3" s="61" t="s">
        <v>305</v>
      </c>
      <c r="G3" s="10" t="s">
        <v>155</v>
      </c>
      <c r="H3" s="10" t="s">
        <v>156</v>
      </c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V3" s="64" t="s">
        <v>304</v>
      </c>
      <c r="W3" s="65">
        <f>IF(Analisi_Voci!B7="Klima Light Calce",0.24,0.2)</f>
        <v>0.2</v>
      </c>
    </row>
    <row r="4" spans="2:23" ht="13" x14ac:dyDescent="0.3">
      <c r="B4" s="69" t="str">
        <f>Titolo_descrizione!B4</f>
        <v>KLIMAEXPERT ETA EPS AIR BLACK</v>
      </c>
      <c r="C4" s="6">
        <v>2</v>
      </c>
      <c r="D4" s="10" t="s">
        <v>304</v>
      </c>
      <c r="E4" s="10" t="s">
        <v>154</v>
      </c>
      <c r="F4" s="61" t="s">
        <v>305</v>
      </c>
      <c r="G4" s="10" t="s">
        <v>155</v>
      </c>
      <c r="H4" s="10" t="s">
        <v>156</v>
      </c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V4" s="66" t="s">
        <v>154</v>
      </c>
      <c r="W4" s="65">
        <f>0.03*Analisi_Voci!$D$10</f>
        <v>0</v>
      </c>
    </row>
    <row r="5" spans="2:23" ht="13" x14ac:dyDescent="0.3">
      <c r="B5" s="69" t="str">
        <f>Titolo_descrizione!B5</f>
        <v>KLIMAEXPERT ETA EPS AIRPLUS</v>
      </c>
      <c r="C5" s="6">
        <v>3</v>
      </c>
      <c r="D5" s="10" t="s">
        <v>304</v>
      </c>
      <c r="E5" s="10" t="s">
        <v>154</v>
      </c>
      <c r="F5" s="61" t="s">
        <v>305</v>
      </c>
      <c r="G5" s="10" t="s">
        <v>155</v>
      </c>
      <c r="H5" s="10" t="s">
        <v>156</v>
      </c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V5" s="66" t="s">
        <v>305</v>
      </c>
      <c r="W5" s="65">
        <v>0.2</v>
      </c>
    </row>
    <row r="6" spans="2:23" ht="13" x14ac:dyDescent="0.3">
      <c r="B6" s="69" t="str">
        <f>Titolo_descrizione!B6</f>
        <v>KLIMAEXPERT ETA EPS AIRTECH</v>
      </c>
      <c r="C6" s="6">
        <v>4</v>
      </c>
      <c r="D6" s="10" t="s">
        <v>304</v>
      </c>
      <c r="E6" s="61" t="s">
        <v>305</v>
      </c>
      <c r="F6" s="10" t="s">
        <v>155</v>
      </c>
      <c r="G6" s="10" t="s">
        <v>156</v>
      </c>
      <c r="H6" s="6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V6" s="64" t="s">
        <v>155</v>
      </c>
      <c r="W6" s="65">
        <v>0.15</v>
      </c>
    </row>
    <row r="7" spans="2:23" ht="13.5" thickBot="1" x14ac:dyDescent="0.35">
      <c r="B7" s="69" t="str">
        <f>Titolo_descrizione!B7</f>
        <v>KLIMAEXPERT ETA MW AIRWOOL</v>
      </c>
      <c r="C7" s="6">
        <v>5</v>
      </c>
      <c r="D7" s="10" t="s">
        <v>304</v>
      </c>
      <c r="E7" s="10" t="s">
        <v>154</v>
      </c>
      <c r="F7" s="61" t="s">
        <v>305</v>
      </c>
      <c r="G7" s="10" t="s">
        <v>155</v>
      </c>
      <c r="H7" s="10" t="s">
        <v>156</v>
      </c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V7" s="67" t="s">
        <v>156</v>
      </c>
      <c r="W7" s="68">
        <v>0.15</v>
      </c>
    </row>
    <row r="8" spans="2:23" ht="13" x14ac:dyDescent="0.3">
      <c r="B8" s="69" t="str">
        <f>Titolo_descrizione!B8</f>
        <v>KLIMAEXPERT ETA MW AIRWOOL PLUS</v>
      </c>
      <c r="C8" s="5">
        <v>6</v>
      </c>
      <c r="D8" s="10" t="s">
        <v>304</v>
      </c>
      <c r="E8" s="10" t="s">
        <v>154</v>
      </c>
      <c r="F8" s="61" t="s">
        <v>305</v>
      </c>
      <c r="G8" s="10" t="s">
        <v>155</v>
      </c>
      <c r="H8" s="10" t="s">
        <v>156</v>
      </c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</row>
    <row r="9" spans="2:23" ht="13" x14ac:dyDescent="0.3">
      <c r="B9" s="69" t="str">
        <f>Titolo_descrizione!B9</f>
        <v>ASSEMBLATO EPS KLIMA AIR</v>
      </c>
      <c r="C9" s="5">
        <v>7</v>
      </c>
      <c r="D9" s="10" t="s">
        <v>304</v>
      </c>
      <c r="E9" s="10" t="s">
        <v>154</v>
      </c>
      <c r="F9" s="61" t="s">
        <v>305</v>
      </c>
      <c r="G9" s="10" t="s">
        <v>155</v>
      </c>
      <c r="H9" s="10" t="s">
        <v>156</v>
      </c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</row>
    <row r="10" spans="2:23" ht="13" x14ac:dyDescent="0.3">
      <c r="B10" s="69" t="str">
        <f>Titolo_descrizione!B10</f>
        <v>ASSEMBLATO EPS KLIMA AIR BLACK</v>
      </c>
      <c r="C10" s="5">
        <v>8</v>
      </c>
      <c r="D10" s="10" t="s">
        <v>304</v>
      </c>
      <c r="E10" s="10" t="s">
        <v>154</v>
      </c>
      <c r="F10" s="61" t="s">
        <v>305</v>
      </c>
      <c r="G10" s="10" t="s">
        <v>155</v>
      </c>
      <c r="H10" s="10" t="s">
        <v>156</v>
      </c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</row>
    <row r="11" spans="2:23" ht="13" x14ac:dyDescent="0.3">
      <c r="B11" s="69" t="str">
        <f>Titolo_descrizione!B11</f>
        <v>ASSEMBLATO EPS KLIMA AIRPLUS</v>
      </c>
      <c r="C11" s="5">
        <v>9</v>
      </c>
      <c r="D11" s="10" t="s">
        <v>304</v>
      </c>
      <c r="E11" s="10" t="s">
        <v>154</v>
      </c>
      <c r="F11" s="61" t="s">
        <v>305</v>
      </c>
      <c r="G11" s="10" t="s">
        <v>155</v>
      </c>
      <c r="H11" s="10" t="s">
        <v>156</v>
      </c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</row>
    <row r="12" spans="2:23" ht="13" x14ac:dyDescent="0.3">
      <c r="B12" s="69" t="str">
        <f>Titolo_descrizione!B12</f>
        <v>ASSEMBLATO EPS KLIMA AIRTECH</v>
      </c>
      <c r="C12" s="5">
        <v>10</v>
      </c>
      <c r="D12" s="10" t="s">
        <v>304</v>
      </c>
      <c r="E12" s="10" t="s">
        <v>154</v>
      </c>
      <c r="F12" s="61" t="s">
        <v>305</v>
      </c>
      <c r="G12" s="10" t="s">
        <v>155</v>
      </c>
      <c r="H12" s="10" t="s">
        <v>156</v>
      </c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</row>
    <row r="13" spans="2:23" ht="13" x14ac:dyDescent="0.3">
      <c r="B13" s="69" t="str">
        <f>Titolo_descrizione!B13</f>
        <v>ASSEMBLATO MW KLIMA AIRWOOL</v>
      </c>
      <c r="C13" s="5">
        <v>11</v>
      </c>
      <c r="D13" s="10" t="s">
        <v>304</v>
      </c>
      <c r="E13" s="10" t="s">
        <v>154</v>
      </c>
      <c r="F13" s="61" t="s">
        <v>305</v>
      </c>
      <c r="G13" s="10" t="s">
        <v>155</v>
      </c>
      <c r="H13" s="10" t="s">
        <v>156</v>
      </c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</row>
    <row r="14" spans="2:23" ht="13" x14ac:dyDescent="0.3">
      <c r="B14" s="69" t="str">
        <f>Titolo_descrizione!B14</f>
        <v>ASSEMBLATO MW KLIMA AIRWOOL PLUS</v>
      </c>
      <c r="C14" s="5">
        <v>12</v>
      </c>
      <c r="D14" s="10" t="s">
        <v>304</v>
      </c>
      <c r="E14" s="10" t="s">
        <v>154</v>
      </c>
      <c r="F14" s="61" t="s">
        <v>305</v>
      </c>
      <c r="G14" s="10" t="s">
        <v>155</v>
      </c>
      <c r="H14" s="10" t="s">
        <v>156</v>
      </c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</row>
    <row r="15" spans="2:23" ht="13" x14ac:dyDescent="0.3">
      <c r="B15" s="69" t="str">
        <f>Titolo_descrizione!B15</f>
        <v>ASSEMBLATO EPS GENERICO</v>
      </c>
      <c r="C15" s="5">
        <v>13</v>
      </c>
      <c r="D15" s="10" t="s">
        <v>304</v>
      </c>
      <c r="E15" s="10" t="s">
        <v>154</v>
      </c>
      <c r="F15" s="61" t="s">
        <v>305</v>
      </c>
      <c r="G15" s="10" t="s">
        <v>155</v>
      </c>
      <c r="H15" s="10" t="s">
        <v>156</v>
      </c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</row>
    <row r="16" spans="2:23" ht="13" x14ac:dyDescent="0.3">
      <c r="B16" s="69" t="str">
        <f>Titolo_descrizione!B16</f>
        <v>ASSEMBLATO POLIURETANO GENERICO</v>
      </c>
      <c r="C16" s="5">
        <v>14</v>
      </c>
      <c r="D16" s="10" t="s">
        <v>304</v>
      </c>
      <c r="E16" s="10" t="s">
        <v>154</v>
      </c>
      <c r="F16" s="61" t="s">
        <v>305</v>
      </c>
      <c r="G16" s="10" t="s">
        <v>155</v>
      </c>
      <c r="H16" s="10" t="s">
        <v>156</v>
      </c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</row>
    <row r="17" spans="2:20" ht="13" x14ac:dyDescent="0.3">
      <c r="B17" s="69" t="str">
        <f>Titolo_descrizione!B17</f>
        <v>ASSEMBLATO RESINA FENOLICA GENERICO</v>
      </c>
      <c r="C17" s="5">
        <v>15</v>
      </c>
      <c r="D17" s="10" t="s">
        <v>304</v>
      </c>
      <c r="E17" s="10" t="s">
        <v>154</v>
      </c>
      <c r="F17" s="61" t="s">
        <v>305</v>
      </c>
      <c r="G17" s="10" t="s">
        <v>155</v>
      </c>
      <c r="H17" s="10" t="s">
        <v>156</v>
      </c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</row>
    <row r="18" spans="2:20" ht="13" x14ac:dyDescent="0.3">
      <c r="B18" s="69" t="str">
        <f>Titolo_descrizione!B18</f>
        <v>ASSEMBLATO LANA DI ROCCIA GENERICO</v>
      </c>
      <c r="C18" s="5">
        <v>16</v>
      </c>
      <c r="D18" s="10" t="s">
        <v>304</v>
      </c>
      <c r="E18" s="10" t="s">
        <v>154</v>
      </c>
      <c r="F18" s="61" t="s">
        <v>305</v>
      </c>
      <c r="G18" s="10" t="s">
        <v>155</v>
      </c>
      <c r="H18" s="10" t="s">
        <v>156</v>
      </c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</row>
    <row r="19" spans="2:20" ht="13" x14ac:dyDescent="0.3">
      <c r="B19" s="69" t="str">
        <f>Titolo_descrizione!B19</f>
        <v>ASSEMBLATO LANA DI VETRO GENERICO</v>
      </c>
      <c r="C19" s="5">
        <v>17</v>
      </c>
      <c r="D19" s="10" t="s">
        <v>304</v>
      </c>
      <c r="E19" s="10" t="s">
        <v>154</v>
      </c>
      <c r="F19" s="61" t="s">
        <v>305</v>
      </c>
      <c r="G19" s="10" t="s">
        <v>155</v>
      </c>
      <c r="H19" s="10" t="s">
        <v>156</v>
      </c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</row>
    <row r="20" spans="2:20" ht="13" x14ac:dyDescent="0.3">
      <c r="B20" s="69" t="str">
        <f>Titolo_descrizione!B20</f>
        <v>ASSEMBLATO AEROGEL GENERICO</v>
      </c>
      <c r="C20" s="5">
        <v>18</v>
      </c>
      <c r="D20" s="10" t="s">
        <v>304</v>
      </c>
      <c r="E20" s="10" t="s">
        <v>154</v>
      </c>
      <c r="F20" s="61" t="s">
        <v>305</v>
      </c>
      <c r="G20" s="10" t="s">
        <v>155</v>
      </c>
      <c r="H20" s="10" t="s">
        <v>156</v>
      </c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</row>
    <row r="21" spans="2:20" ht="13" x14ac:dyDescent="0.3">
      <c r="B21" s="69" t="str">
        <f>Titolo_descrizione!B21</f>
        <v>ASSEMBLATO FIBRA DI LEGNO GENERICO</v>
      </c>
      <c r="C21" s="5">
        <v>19</v>
      </c>
      <c r="D21" s="10" t="s">
        <v>304</v>
      </c>
      <c r="E21" s="10" t="s">
        <v>154</v>
      </c>
      <c r="F21" s="61" t="s">
        <v>305</v>
      </c>
      <c r="G21" s="10" t="s">
        <v>155</v>
      </c>
      <c r="H21" s="10" t="s">
        <v>156</v>
      </c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</row>
    <row r="22" spans="2:20" ht="13" x14ac:dyDescent="0.3">
      <c r="B22" s="69" t="str">
        <f>Titolo_descrizione!B22</f>
        <v>ASSEMBLATO SUGHERO GENERICO</v>
      </c>
      <c r="C22" s="5">
        <v>20</v>
      </c>
      <c r="D22" s="10" t="s">
        <v>304</v>
      </c>
      <c r="E22" s="10" t="s">
        <v>154</v>
      </c>
      <c r="F22" s="61" t="s">
        <v>305</v>
      </c>
      <c r="G22" s="10" t="s">
        <v>155</v>
      </c>
      <c r="H22" s="10" t="s">
        <v>156</v>
      </c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</row>
    <row r="23" spans="2:20" ht="13" x14ac:dyDescent="0.3">
      <c r="B23" s="69" t="str">
        <f>Titolo_descrizione!B23</f>
        <v xml:space="preserve">ECO DUR ZETA </v>
      </c>
      <c r="C23" s="5">
        <v>21</v>
      </c>
      <c r="D23" s="10" t="s">
        <v>304</v>
      </c>
      <c r="E23" s="10" t="s">
        <v>154</v>
      </c>
      <c r="F23" s="61" t="s">
        <v>305</v>
      </c>
      <c r="G23" s="10" t="s">
        <v>155</v>
      </c>
      <c r="H23" s="10" t="s">
        <v>156</v>
      </c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</row>
    <row r="24" spans="2:20" ht="13" x14ac:dyDescent="0.3">
      <c r="B24" s="69">
        <f>Titolo_descrizione!B24</f>
        <v>0</v>
      </c>
      <c r="C24" s="5">
        <v>22</v>
      </c>
      <c r="D24" s="6"/>
      <c r="E24" s="6"/>
      <c r="F24" s="6"/>
      <c r="G24" s="6"/>
      <c r="H24" s="6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</row>
    <row r="25" spans="2:20" ht="13" x14ac:dyDescent="0.3">
      <c r="B25" s="69">
        <f>Titolo_descrizione!B25</f>
        <v>0</v>
      </c>
      <c r="C25" s="5">
        <v>23</v>
      </c>
      <c r="D25" s="13"/>
      <c r="E25" s="6"/>
      <c r="F25" s="6"/>
      <c r="G25" s="6"/>
      <c r="H25" s="6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</row>
  </sheetData>
  <phoneticPr fontId="7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9358A-F2FD-4375-ACA4-B131E8CA825F}">
  <sheetPr codeName="Foglio3"/>
  <dimension ref="B1:W24"/>
  <sheetViews>
    <sheetView topLeftCell="D1" workbookViewId="0">
      <selection activeCell="A12" sqref="A12:G17"/>
    </sheetView>
  </sheetViews>
  <sheetFormatPr defaultRowHeight="12.5" x14ac:dyDescent="0.25"/>
  <cols>
    <col min="1" max="1" width="3.08984375" customWidth="1"/>
    <col min="2" max="2" width="40.26953125" bestFit="1" customWidth="1"/>
    <col min="3" max="3" width="38.08984375" customWidth="1"/>
    <col min="4" max="4" width="31.54296875" bestFit="1" customWidth="1"/>
    <col min="5" max="5" width="49.36328125" customWidth="1"/>
    <col min="6" max="6" width="26.54296875" bestFit="1" customWidth="1"/>
    <col min="7" max="7" width="19" bestFit="1" customWidth="1"/>
    <col min="8" max="8" width="19.90625" customWidth="1"/>
    <col min="9" max="9" width="31" bestFit="1" customWidth="1"/>
    <col min="10" max="10" width="14.81640625" customWidth="1"/>
    <col min="11" max="12" width="9.26953125" bestFit="1" customWidth="1"/>
    <col min="13" max="23" width="10.26953125" bestFit="1" customWidth="1"/>
  </cols>
  <sheetData>
    <row r="1" spans="2:23" ht="12" customHeight="1" x14ac:dyDescent="0.25"/>
    <row r="2" spans="2:23" x14ac:dyDescent="0.25">
      <c r="B2" s="2" t="s">
        <v>55</v>
      </c>
      <c r="C2" s="2" t="s">
        <v>306</v>
      </c>
      <c r="D2" s="2" t="s">
        <v>307</v>
      </c>
      <c r="E2" s="2" t="s">
        <v>308</v>
      </c>
      <c r="F2" s="2" t="s">
        <v>309</v>
      </c>
      <c r="G2" s="2" t="s">
        <v>310</v>
      </c>
      <c r="H2" s="2" t="s">
        <v>311</v>
      </c>
      <c r="I2" s="2" t="s">
        <v>312</v>
      </c>
      <c r="J2" s="2" t="s">
        <v>313</v>
      </c>
      <c r="K2" s="2" t="s">
        <v>314</v>
      </c>
      <c r="L2" s="2" t="s">
        <v>315</v>
      </c>
      <c r="M2" s="2" t="s">
        <v>316</v>
      </c>
      <c r="N2" s="2" t="s">
        <v>317</v>
      </c>
      <c r="O2" s="2" t="s">
        <v>318</v>
      </c>
      <c r="P2" s="2" t="s">
        <v>319</v>
      </c>
      <c r="Q2" s="2" t="s">
        <v>320</v>
      </c>
      <c r="R2" s="2" t="s">
        <v>321</v>
      </c>
      <c r="S2" s="2" t="s">
        <v>322</v>
      </c>
      <c r="T2" s="2" t="s">
        <v>323</v>
      </c>
      <c r="U2" s="2" t="s">
        <v>324</v>
      </c>
      <c r="V2" s="2" t="s">
        <v>325</v>
      </c>
      <c r="W2" s="2" t="s">
        <v>326</v>
      </c>
    </row>
    <row r="3" spans="2:23" x14ac:dyDescent="0.25">
      <c r="B3" t="str" cm="1">
        <f t="array" aca="1" ref="B3:B23" ca="1">RIF_TITOLO</f>
        <v>KLIMAEXPERT ETA EPS AIR</v>
      </c>
      <c r="C3" t="str">
        <f>_xlfn.CONCAT(Analisi_Voci!$B$7," (Adesivo)")</f>
        <v>Klima Flex (Adesivo)</v>
      </c>
      <c r="D3" s="2" t="str">
        <f>_xlfn.CONCAT(Var_voce!$X$36," ",Analisi_Voci!A7)</f>
        <v>Klima Air 100 mm</v>
      </c>
      <c r="E3" t="str">
        <f>_xlfn.CONCAT(Analisi_Voci!$C$10," ",Analisi_Voci!$E$10)</f>
        <v xml:space="preserve">Tassello a percussione Acciaio/Nylon </v>
      </c>
      <c r="F3" t="str">
        <f>_xlfn.CONCAT(Analisi_Voci!$B$7," (Rasante)")</f>
        <v>Klima Flex (Rasante)</v>
      </c>
      <c r="G3" t="str">
        <f>Analisi_Voci!$C$7</f>
        <v>Rinforzo V50</v>
      </c>
      <c r="H3" t="str">
        <f>Analisi_Voci!$E$7</f>
        <v>Kerakover Acrilex Fondo</v>
      </c>
      <c r="I3" t="str">
        <f>_xlfn.CONCAT(Analisi_Voci!$F$7," ",Analisi_Voci!$A$10," ",Analisi_Voci!$B$10)</f>
        <v>Kerakover Acrilex Finish 1.0 Colorato B</v>
      </c>
    </row>
    <row r="4" spans="2:23" x14ac:dyDescent="0.25">
      <c r="B4" t="str">
        <f ca="1"/>
        <v>KLIMAEXPERT ETA EPS AIR BLACK</v>
      </c>
      <c r="C4" t="str">
        <f>_xlfn.CONCAT(Analisi_Voci!$B$7," (Adesivo)")</f>
        <v>Klima Flex (Adesivo)</v>
      </c>
      <c r="D4" s="2" t="str">
        <f>_xlfn.CONCAT(Var_voce!Y36," ",Analisi_Voci!$A$7)</f>
        <v>Klima Air Black 100 mm</v>
      </c>
      <c r="E4" t="str">
        <f>_xlfn.CONCAT(Analisi_Voci!$C$10," ",Analisi_Voci!$E$10)</f>
        <v xml:space="preserve">Tassello a percussione Acciaio/Nylon </v>
      </c>
      <c r="F4" t="str">
        <f>_xlfn.CONCAT(Analisi_Voci!$B$7," (Rasante)")</f>
        <v>Klima Flex (Rasante)</v>
      </c>
      <c r="G4" t="str">
        <f>Analisi_Voci!$C$7</f>
        <v>Rinforzo V50</v>
      </c>
      <c r="H4" t="str">
        <f>Analisi_Voci!$E$7</f>
        <v>Kerakover Acrilex Fondo</v>
      </c>
      <c r="I4" t="str">
        <f>_xlfn.CONCAT(Analisi_Voci!$F$7," ",Analisi_Voci!$A$10," ",Analisi_Voci!$B$10)</f>
        <v>Kerakover Acrilex Finish 1.0 Colorato B</v>
      </c>
    </row>
    <row r="5" spans="2:23" x14ac:dyDescent="0.25">
      <c r="B5" t="str">
        <f ca="1"/>
        <v>KLIMAEXPERT ETA EPS AIRPLUS</v>
      </c>
      <c r="C5" t="str">
        <f>_xlfn.CONCAT(Analisi_Voci!$B$7," (Adesivo)")</f>
        <v>Klima Flex (Adesivo)</v>
      </c>
      <c r="D5" s="2" t="str">
        <f>_xlfn.CONCAT(Var_voce!$Z$36," ",Analisi_Voci!$A$7)</f>
        <v>Klima Airplus 100 mm</v>
      </c>
      <c r="E5" t="str">
        <f>_xlfn.CONCAT(Analisi_Voci!$C$10," ",Analisi_Voci!$E$10)</f>
        <v xml:space="preserve">Tassello a percussione Acciaio/Nylon </v>
      </c>
      <c r="F5" t="str">
        <f>_xlfn.CONCAT(Analisi_Voci!$B$7," (Rasante)")</f>
        <v>Klima Flex (Rasante)</v>
      </c>
      <c r="G5" t="str">
        <f>Analisi_Voci!$C$7</f>
        <v>Rinforzo V50</v>
      </c>
      <c r="H5" t="str">
        <f>Analisi_Voci!$E$7</f>
        <v>Kerakover Acrilex Fondo</v>
      </c>
      <c r="I5" t="str">
        <f>_xlfn.CONCAT(Analisi_Voci!$F$7," ",Analisi_Voci!$A$10," ",Analisi_Voci!$B$10)</f>
        <v>Kerakover Acrilex Finish 1.0 Colorato B</v>
      </c>
    </row>
    <row r="6" spans="2:23" x14ac:dyDescent="0.25">
      <c r="B6" t="str">
        <f ca="1"/>
        <v>KLIMAEXPERT ETA EPS AIRTECH</v>
      </c>
      <c r="C6" t="str">
        <f>_xlfn.CONCAT(Analisi_Voci!$B$7," (Adesivo)")</f>
        <v>Klima Flex (Adesivo)</v>
      </c>
      <c r="D6" t="str">
        <f>_xlfn.CONCAT(Var_voce!$AA$36," ",Analisi_Voci!$A$7)</f>
        <v>Klima Airtech 100 mm</v>
      </c>
      <c r="E6" t="str">
        <f>_xlfn.CONCAT(Analisi_Voci!$B$7," (Rasante)")</f>
        <v>Klima Flex (Rasante)</v>
      </c>
      <c r="F6" t="str">
        <f>Analisi_Voci!$C$7</f>
        <v>Rinforzo V50</v>
      </c>
      <c r="G6" t="str">
        <f>Analisi_Voci!$E$7</f>
        <v>Kerakover Acrilex Fondo</v>
      </c>
      <c r="H6" t="str">
        <f>_xlfn.CONCAT(Analisi_Voci!$F$7," ",Analisi_Voci!$A$10," ",Analisi_Voci!$B$10)</f>
        <v>Kerakover Acrilex Finish 1.0 Colorato B</v>
      </c>
    </row>
    <row r="7" spans="2:23" x14ac:dyDescent="0.25">
      <c r="B7" t="str">
        <f ca="1"/>
        <v>KLIMAEXPERT ETA MW AIRWOOL</v>
      </c>
      <c r="C7" t="str">
        <f>_xlfn.CONCAT(Analisi_Voci!$B$7," (Adesivo)")</f>
        <v>Klima Flex (Adesivo)</v>
      </c>
      <c r="D7" t="str">
        <f>_xlfn.CONCAT(Var_voce!AB36," ",Analisi_Voci!$A$7)</f>
        <v>Klima Airwool 100 mm</v>
      </c>
      <c r="E7" t="str">
        <f>_xlfn.CONCAT(Analisi_Voci!$C$10," ",Analisi_Voci!$E$10)</f>
        <v xml:space="preserve">Tassello a percussione Acciaio/Nylon </v>
      </c>
      <c r="F7" t="str">
        <f>_xlfn.CONCAT(Analisi_Voci!$B$7," (Rasante)")</f>
        <v>Klima Flex (Rasante)</v>
      </c>
      <c r="G7" t="str">
        <f>Analisi_Voci!$C$7</f>
        <v>Rinforzo V50</v>
      </c>
      <c r="H7" t="str">
        <f>Analisi_Voci!$E$7</f>
        <v>Kerakover Acrilex Fondo</v>
      </c>
      <c r="I7" t="str">
        <f>_xlfn.CONCAT(Analisi_Voci!$F$7," ",Analisi_Voci!$A$10," ",Analisi_Voci!$B$10)</f>
        <v>Kerakover Acrilex Finish 1.0 Colorato B</v>
      </c>
    </row>
    <row r="8" spans="2:23" x14ac:dyDescent="0.25">
      <c r="B8" t="str">
        <f ca="1"/>
        <v>KLIMAEXPERT ETA MW AIRWOOL PLUS</v>
      </c>
      <c r="C8" t="str">
        <f>_xlfn.CONCAT(Analisi_Voci!$B$7," (Adesivo)")</f>
        <v>Klima Flex (Adesivo)</v>
      </c>
      <c r="D8" t="str">
        <f>_xlfn.CONCAT(Var_voce!AC36," ",Analisi_Voci!$A$7)</f>
        <v>Klima Airwool Plus 100 mm</v>
      </c>
      <c r="E8" t="str">
        <f>_xlfn.CONCAT(Analisi_Voci!$C$10," ",Analisi_Voci!$E$10)</f>
        <v xml:space="preserve">Tassello a percussione Acciaio/Nylon </v>
      </c>
      <c r="F8" t="str">
        <f>_xlfn.CONCAT(Analisi_Voci!$B$7," (Rasante)")</f>
        <v>Klima Flex (Rasante)</v>
      </c>
      <c r="G8" t="str">
        <f>Analisi_Voci!$C$7</f>
        <v>Rinforzo V50</v>
      </c>
      <c r="H8" t="str">
        <f>Analisi_Voci!$E$7</f>
        <v>Kerakover Acrilex Fondo</v>
      </c>
      <c r="I8" t="str">
        <f>_xlfn.CONCAT(Analisi_Voci!$F$7," ",Analisi_Voci!$A$10," ",Analisi_Voci!$B$10)</f>
        <v>Kerakover Acrilex Finish 1.0 Colorato B</v>
      </c>
    </row>
    <row r="9" spans="2:23" x14ac:dyDescent="0.25">
      <c r="B9" t="str">
        <f ca="1"/>
        <v>ASSEMBLATO EPS KLIMA AIR</v>
      </c>
      <c r="C9" t="str">
        <f>_xlfn.CONCAT(Analisi_Voci!$B$7," (Adesivo)")</f>
        <v>Klima Flex (Adesivo)</v>
      </c>
      <c r="D9" t="str">
        <f>_xlfn.CONCAT(Var_voce!$X$36," ",Analisi_Voci!A7)</f>
        <v>Klima Air 100 mm</v>
      </c>
      <c r="E9" t="str">
        <f>_xlfn.CONCAT(Analisi_Voci!$C$10," ",Analisi_Voci!$E$10)</f>
        <v xml:space="preserve">Tassello a percussione Acciaio/Nylon </v>
      </c>
      <c r="F9" t="str">
        <f>_xlfn.CONCAT(Analisi_Voci!$D$7," (Rasante)")</f>
        <v>Keraklima Eco Granello (Rasante)</v>
      </c>
      <c r="G9" t="str">
        <f>Analisi_Voci!$C$7</f>
        <v>Rinforzo V50</v>
      </c>
      <c r="H9" t="str">
        <f>Analisi_Voci!$E$7</f>
        <v>Kerakover Acrilex Fondo</v>
      </c>
      <c r="I9" t="str">
        <f>_xlfn.CONCAT(Analisi_Voci!$F$7," ",Analisi_Voci!$A$10," ",Analisi_Voci!$B$10)</f>
        <v>Kerakover Acrilex Finish 1.0 Colorato B</v>
      </c>
    </row>
    <row r="10" spans="2:23" x14ac:dyDescent="0.25">
      <c r="B10" t="str">
        <f ca="1"/>
        <v>ASSEMBLATO EPS KLIMA AIR BLACK</v>
      </c>
      <c r="C10" t="str">
        <f>_xlfn.CONCAT(Analisi_Voci!$B$7," (Adesivo)")</f>
        <v>Klima Flex (Adesivo)</v>
      </c>
      <c r="D10" t="str">
        <f>_xlfn.CONCAT(Var_voce!Y36," ",Analisi_Voci!$A$7)</f>
        <v>Klima Air Black 100 mm</v>
      </c>
      <c r="E10" t="str">
        <f>_xlfn.CONCAT(Analisi_Voci!$C$10," ",Analisi_Voci!$E$10)</f>
        <v xml:space="preserve">Tassello a percussione Acciaio/Nylon </v>
      </c>
      <c r="F10" t="str">
        <f>_xlfn.CONCAT(Analisi_Voci!$D$7," (Rasante)")</f>
        <v>Keraklima Eco Granello (Rasante)</v>
      </c>
      <c r="G10" t="str">
        <f>Analisi_Voci!$C$7</f>
        <v>Rinforzo V50</v>
      </c>
      <c r="H10" t="str">
        <f>Analisi_Voci!$E$7</f>
        <v>Kerakover Acrilex Fondo</v>
      </c>
      <c r="I10" t="str">
        <f>_xlfn.CONCAT(Analisi_Voci!$F$7," ",Analisi_Voci!$A$10," ",Analisi_Voci!$B$10)</f>
        <v>Kerakover Acrilex Finish 1.0 Colorato B</v>
      </c>
    </row>
    <row r="11" spans="2:23" x14ac:dyDescent="0.25">
      <c r="B11" t="str">
        <f ca="1"/>
        <v>ASSEMBLATO EPS KLIMA AIRPLUS</v>
      </c>
      <c r="C11" t="str">
        <f>_xlfn.CONCAT(Analisi_Voci!$B$7," (Adesivo)")</f>
        <v>Klima Flex (Adesivo)</v>
      </c>
      <c r="D11" t="str">
        <f>_xlfn.CONCAT(Var_voce!$Z$36," ",Analisi_Voci!$A$7)</f>
        <v>Klima Airplus 100 mm</v>
      </c>
      <c r="E11" t="str">
        <f>_xlfn.CONCAT(Analisi_Voci!$C$10," ",Analisi_Voci!$E$10)</f>
        <v xml:space="preserve">Tassello a percussione Acciaio/Nylon </v>
      </c>
      <c r="F11" t="str">
        <f>_xlfn.CONCAT(Analisi_Voci!$D$7," (Rasante)")</f>
        <v>Keraklima Eco Granello (Rasante)</v>
      </c>
      <c r="G11" t="str">
        <f>Analisi_Voci!$C$7</f>
        <v>Rinforzo V50</v>
      </c>
      <c r="H11" t="str">
        <f>Analisi_Voci!$E$7</f>
        <v>Kerakover Acrilex Fondo</v>
      </c>
      <c r="I11" t="str">
        <f>_xlfn.CONCAT(Analisi_Voci!$F$7," ",Analisi_Voci!$A$10," ",Analisi_Voci!$B$10)</f>
        <v>Kerakover Acrilex Finish 1.0 Colorato B</v>
      </c>
    </row>
    <row r="12" spans="2:23" x14ac:dyDescent="0.25">
      <c r="B12" t="str">
        <f ca="1"/>
        <v>ASSEMBLATO EPS KLIMA AIRTECH</v>
      </c>
      <c r="C12" t="str">
        <f>_xlfn.CONCAT(Analisi_Voci!$B$7," (Adesivo)")</f>
        <v>Klima Flex (Adesivo)</v>
      </c>
      <c r="D12" t="str">
        <f>_xlfn.CONCAT(Var_voce!$AA$36," ",Analisi_Voci!$A$7)</f>
        <v>Klima Airtech 100 mm</v>
      </c>
      <c r="E12" t="str">
        <f>_xlfn.CONCAT(Analisi_Voci!$C$10," ",Analisi_Voci!$E$10)</f>
        <v xml:space="preserve">Tassello a percussione Acciaio/Nylon </v>
      </c>
      <c r="F12" t="str">
        <f>_xlfn.CONCAT(Analisi_Voci!$D$7," (Rasante)")</f>
        <v>Keraklima Eco Granello (Rasante)</v>
      </c>
      <c r="G12" t="str">
        <f>Analisi_Voci!$C$7</f>
        <v>Rinforzo V50</v>
      </c>
      <c r="H12" t="str">
        <f>Analisi_Voci!$E$7</f>
        <v>Kerakover Acrilex Fondo</v>
      </c>
      <c r="I12" t="str">
        <f>_xlfn.CONCAT(Analisi_Voci!$F$7," ",Analisi_Voci!$A$10," ",Analisi_Voci!$B$10)</f>
        <v>Kerakover Acrilex Finish 1.0 Colorato B</v>
      </c>
    </row>
    <row r="13" spans="2:23" x14ac:dyDescent="0.25">
      <c r="B13" t="str">
        <f ca="1"/>
        <v>ASSEMBLATO MW KLIMA AIRWOOL</v>
      </c>
      <c r="C13" t="str">
        <f>_xlfn.CONCAT(Analisi_Voci!$B$7," (Adesivo)")</f>
        <v>Klima Flex (Adesivo)</v>
      </c>
      <c r="D13" t="str">
        <f>_xlfn.CONCAT(Var_voce!AB36," ",Analisi_Voci!$A$7)</f>
        <v>Klima Airwool 100 mm</v>
      </c>
      <c r="E13" t="str">
        <f>_xlfn.CONCAT(Analisi_Voci!$C$10," ",Analisi_Voci!$E$10)</f>
        <v xml:space="preserve">Tassello a percussione Acciaio/Nylon </v>
      </c>
      <c r="F13" t="str">
        <f>_xlfn.CONCAT(Analisi_Voci!$D$7," (Rasante)")</f>
        <v>Keraklima Eco Granello (Rasante)</v>
      </c>
      <c r="G13" t="str">
        <f>Analisi_Voci!$C$7</f>
        <v>Rinforzo V50</v>
      </c>
      <c r="H13" t="str">
        <f>Analisi_Voci!$E$7</f>
        <v>Kerakover Acrilex Fondo</v>
      </c>
      <c r="I13" t="str">
        <f>_xlfn.CONCAT(Analisi_Voci!$F$7," ",Analisi_Voci!$A$10," ",Analisi_Voci!$B$10)</f>
        <v>Kerakover Acrilex Finish 1.0 Colorato B</v>
      </c>
    </row>
    <row r="14" spans="2:23" x14ac:dyDescent="0.25">
      <c r="B14" t="str">
        <f ca="1"/>
        <v>ASSEMBLATO MW KLIMA AIRWOOL PLUS</v>
      </c>
      <c r="C14" t="str">
        <f>_xlfn.CONCAT(Analisi_Voci!$B$7," (Adesivo)")</f>
        <v>Klima Flex (Adesivo)</v>
      </c>
      <c r="D14" t="str">
        <f>_xlfn.CONCAT(Var_voce!AC36," ",Analisi_Voci!$A$7)</f>
        <v>Klima Airwool Plus 100 mm</v>
      </c>
      <c r="E14" t="str">
        <f>_xlfn.CONCAT(Analisi_Voci!$C$10," ",Analisi_Voci!$E$10)</f>
        <v xml:space="preserve">Tassello a percussione Acciaio/Nylon </v>
      </c>
      <c r="F14" t="str">
        <f>_xlfn.CONCAT(Analisi_Voci!$D$7," (Rasante)")</f>
        <v>Keraklima Eco Granello (Rasante)</v>
      </c>
      <c r="G14" t="str">
        <f>Analisi_Voci!$C$7</f>
        <v>Rinforzo V50</v>
      </c>
      <c r="H14" t="str">
        <f>Analisi_Voci!$E$7</f>
        <v>Kerakover Acrilex Fondo</v>
      </c>
      <c r="I14" t="str">
        <f>_xlfn.CONCAT(Analisi_Voci!$F$7," ",Analisi_Voci!$A$10," ",Analisi_Voci!$B$10)</f>
        <v>Kerakover Acrilex Finish 1.0 Colorato B</v>
      </c>
    </row>
    <row r="15" spans="2:23" x14ac:dyDescent="0.25">
      <c r="B15" t="str">
        <f ca="1"/>
        <v>ASSEMBLATO EPS GENERICO</v>
      </c>
      <c r="C15" t="str">
        <f>_xlfn.CONCAT(Analisi_Voci!$B$7," (Adesivo)")</f>
        <v>Klima Flex (Adesivo)</v>
      </c>
      <c r="D15" t="str">
        <f>_xlfn.CONCAT(Analisi_Voci!$C$10," ",Analisi_Voci!$E$10)</f>
        <v xml:space="preserve">Tassello a percussione Acciaio/Nylon </v>
      </c>
      <c r="E15" t="str">
        <f>_xlfn.CONCAT(Analisi_Voci!$D$7," (Rasante)")</f>
        <v>Keraklima Eco Granello (Rasante)</v>
      </c>
      <c r="F15" t="str">
        <f>Analisi_Voci!$C$7</f>
        <v>Rinforzo V50</v>
      </c>
      <c r="G15" t="str">
        <f>Analisi_Voci!$E$7</f>
        <v>Kerakover Acrilex Fondo</v>
      </c>
      <c r="H15" t="str">
        <f>_xlfn.CONCAT(Analisi_Voci!$F$7," ",Analisi_Voci!$A$10," ",Analisi_Voci!$B$10)</f>
        <v>Kerakover Acrilex Finish 1.0 Colorato B</v>
      </c>
    </row>
    <row r="16" spans="2:23" x14ac:dyDescent="0.25">
      <c r="B16" t="str">
        <f ca="1"/>
        <v>ASSEMBLATO POLIURETANO GENERICO</v>
      </c>
      <c r="C16" t="str">
        <f>_xlfn.CONCAT(Analisi_Voci!$B$7," (Adesivo)")</f>
        <v>Klima Flex (Adesivo)</v>
      </c>
      <c r="D16" t="str">
        <f>_xlfn.CONCAT(Analisi_Voci!$C$10," ",Analisi_Voci!$E$10)</f>
        <v xml:space="preserve">Tassello a percussione Acciaio/Nylon </v>
      </c>
      <c r="E16" t="str">
        <f>_xlfn.CONCAT(Analisi_Voci!$D$7," (Rasante)")</f>
        <v>Keraklima Eco Granello (Rasante)</v>
      </c>
      <c r="F16" t="str">
        <f>Analisi_Voci!$C$7</f>
        <v>Rinforzo V50</v>
      </c>
      <c r="G16" t="str">
        <f>Analisi_Voci!$E$7</f>
        <v>Kerakover Acrilex Fondo</v>
      </c>
      <c r="H16" t="str">
        <f>_xlfn.CONCAT(Analisi_Voci!$F$7," ",Analisi_Voci!$A$10," ",Analisi_Voci!$B$10)</f>
        <v>Kerakover Acrilex Finish 1.0 Colorato B</v>
      </c>
    </row>
    <row r="17" spans="2:9" x14ac:dyDescent="0.25">
      <c r="B17" t="str">
        <f ca="1"/>
        <v>ASSEMBLATO RESINA FENOLICA GENERICO</v>
      </c>
      <c r="C17" t="str">
        <f>_xlfn.CONCAT(Analisi_Voci!$B$7," (Adesivo)")</f>
        <v>Klima Flex (Adesivo)</v>
      </c>
      <c r="D17" t="str">
        <f>_xlfn.CONCAT(Analisi_Voci!$C$10," ",Analisi_Voci!$E$10)</f>
        <v xml:space="preserve">Tassello a percussione Acciaio/Nylon </v>
      </c>
      <c r="E17" t="str">
        <f>_xlfn.CONCAT(Analisi_Voci!$D$7," (Rasante)")</f>
        <v>Keraklima Eco Granello (Rasante)</v>
      </c>
      <c r="F17" t="str">
        <f>Analisi_Voci!$C$7</f>
        <v>Rinforzo V50</v>
      </c>
      <c r="G17" t="str">
        <f>Analisi_Voci!$E$7</f>
        <v>Kerakover Acrilex Fondo</v>
      </c>
      <c r="H17" t="str">
        <f>_xlfn.CONCAT(Analisi_Voci!$F$7," ",Analisi_Voci!$A$10," ",Analisi_Voci!$B$10)</f>
        <v>Kerakover Acrilex Finish 1.0 Colorato B</v>
      </c>
    </row>
    <row r="18" spans="2:9" x14ac:dyDescent="0.25">
      <c r="B18" t="str">
        <f ca="1"/>
        <v>ASSEMBLATO LANA DI ROCCIA GENERICO</v>
      </c>
      <c r="C18" t="str">
        <f>_xlfn.CONCAT(Analisi_Voci!$B$7," (Adesivo)")</f>
        <v>Klima Flex (Adesivo)</v>
      </c>
      <c r="D18" t="str">
        <f>_xlfn.CONCAT(Analisi_Voci!$C$10," ",Analisi_Voci!$E$10)</f>
        <v xml:space="preserve">Tassello a percussione Acciaio/Nylon </v>
      </c>
      <c r="E18" t="str">
        <f>_xlfn.CONCAT(Analisi_Voci!$D$7," (Rasante)")</f>
        <v>Keraklima Eco Granello (Rasante)</v>
      </c>
      <c r="F18" t="str">
        <f>Analisi_Voci!$C$7</f>
        <v>Rinforzo V50</v>
      </c>
      <c r="G18" t="str">
        <f>Analisi_Voci!$E$7</f>
        <v>Kerakover Acrilex Fondo</v>
      </c>
      <c r="H18" t="str">
        <f>_xlfn.CONCAT(Analisi_Voci!$F$7," ",Analisi_Voci!$A$10," ",Analisi_Voci!$B$10)</f>
        <v>Kerakover Acrilex Finish 1.0 Colorato B</v>
      </c>
    </row>
    <row r="19" spans="2:9" x14ac:dyDescent="0.25">
      <c r="B19" t="str">
        <f ca="1"/>
        <v>ASSEMBLATO LANA DI VETRO GENERICO</v>
      </c>
      <c r="C19" t="str">
        <f>_xlfn.CONCAT(Analisi_Voci!$B$7," (Adesivo)")</f>
        <v>Klima Flex (Adesivo)</v>
      </c>
      <c r="D19" t="str">
        <f>_xlfn.CONCAT(Analisi_Voci!$C$10," ",Analisi_Voci!$E$10)</f>
        <v xml:space="preserve">Tassello a percussione Acciaio/Nylon </v>
      </c>
      <c r="E19" t="str">
        <f>_xlfn.CONCAT(Analisi_Voci!$D$7," (Rasante)")</f>
        <v>Keraklima Eco Granello (Rasante)</v>
      </c>
      <c r="F19" t="str">
        <f>Analisi_Voci!$C$7</f>
        <v>Rinforzo V50</v>
      </c>
      <c r="G19" t="str">
        <f>Analisi_Voci!$E$7</f>
        <v>Kerakover Acrilex Fondo</v>
      </c>
      <c r="H19" t="str">
        <f>_xlfn.CONCAT(Analisi_Voci!$F$7," ",Analisi_Voci!$A$10," ",Analisi_Voci!$B$10)</f>
        <v>Kerakover Acrilex Finish 1.0 Colorato B</v>
      </c>
    </row>
    <row r="20" spans="2:9" x14ac:dyDescent="0.25">
      <c r="B20" t="str">
        <f ca="1"/>
        <v>ASSEMBLATO AEROGEL GENERICO</v>
      </c>
      <c r="C20" t="str">
        <f>_xlfn.CONCAT(Analisi_Voci!$B$7," (Adesivo)")</f>
        <v>Klima Flex (Adesivo)</v>
      </c>
      <c r="D20" t="str">
        <f>_xlfn.CONCAT(Analisi_Voci!$C$10," ",Analisi_Voci!$E$10)</f>
        <v xml:space="preserve">Tassello a percussione Acciaio/Nylon </v>
      </c>
      <c r="E20" t="str">
        <f>_xlfn.CONCAT(Analisi_Voci!$D$7," (Rasante)")</f>
        <v>Keraklima Eco Granello (Rasante)</v>
      </c>
      <c r="F20" t="str">
        <f>Analisi_Voci!$C$7</f>
        <v>Rinforzo V50</v>
      </c>
      <c r="G20" t="str">
        <f>Analisi_Voci!$E$7</f>
        <v>Kerakover Acrilex Fondo</v>
      </c>
      <c r="H20" t="str">
        <f>_xlfn.CONCAT(Analisi_Voci!$F$7," ",Analisi_Voci!$A$10," ",Analisi_Voci!$B$10)</f>
        <v>Kerakover Acrilex Finish 1.0 Colorato B</v>
      </c>
    </row>
    <row r="21" spans="2:9" x14ac:dyDescent="0.25">
      <c r="B21" t="str">
        <f ca="1"/>
        <v>ASSEMBLATO FIBRA DI LEGNO GENERICO</v>
      </c>
      <c r="C21" t="str">
        <f>_xlfn.CONCAT(Analisi_Voci!$B$7," (Adesivo)")</f>
        <v>Klima Flex (Adesivo)</v>
      </c>
      <c r="D21" t="str">
        <f>_xlfn.CONCAT(Analisi_Voci!$C$10," ",Analisi_Voci!$E$10)</f>
        <v xml:space="preserve">Tassello a percussione Acciaio/Nylon </v>
      </c>
      <c r="E21" t="str">
        <f>_xlfn.CONCAT(Analisi_Voci!$D$7," (Rasante)")</f>
        <v>Keraklima Eco Granello (Rasante)</v>
      </c>
      <c r="F21" t="str">
        <f>Analisi_Voci!$C$7</f>
        <v>Rinforzo V50</v>
      </c>
      <c r="G21" t="str">
        <f>Analisi_Voci!$E$7</f>
        <v>Kerakover Acrilex Fondo</v>
      </c>
      <c r="H21" t="str">
        <f>_xlfn.CONCAT(Analisi_Voci!$F$7," ",Analisi_Voci!$A$10," ",Analisi_Voci!$B$10)</f>
        <v>Kerakover Acrilex Finish 1.0 Colorato B</v>
      </c>
    </row>
    <row r="22" spans="2:9" x14ac:dyDescent="0.25">
      <c r="B22" t="str">
        <f ca="1"/>
        <v>ASSEMBLATO SUGHERO GENERICO</v>
      </c>
      <c r="C22" t="str">
        <f>_xlfn.CONCAT(Analisi_Voci!$B$7," (Adesivo)")</f>
        <v>Klima Flex (Adesivo)</v>
      </c>
      <c r="D22" t="str">
        <f>_xlfn.CONCAT(Analisi_Voci!$C$10," ",Analisi_Voci!$E$10)</f>
        <v xml:space="preserve">Tassello a percussione Acciaio/Nylon </v>
      </c>
      <c r="E22" t="str">
        <f>_xlfn.CONCAT(Analisi_Voci!$D$7," (Rasante)")</f>
        <v>Keraklima Eco Granello (Rasante)</v>
      </c>
      <c r="F22" t="str">
        <f>Analisi_Voci!$C$7</f>
        <v>Rinforzo V50</v>
      </c>
      <c r="G22" t="str">
        <f>Analisi_Voci!$E$7</f>
        <v>Kerakover Acrilex Fondo</v>
      </c>
      <c r="H22" t="str">
        <f>_xlfn.CONCAT(Analisi_Voci!$F$7," ",Analisi_Voci!$A$10," ",Analisi_Voci!$B$10)</f>
        <v>Kerakover Acrilex Finish 1.0 Colorato B</v>
      </c>
    </row>
    <row r="23" spans="2:9" x14ac:dyDescent="0.25">
      <c r="B23" t="str">
        <f ca="1"/>
        <v xml:space="preserve">ECO DUR ZETA </v>
      </c>
      <c r="C23" t="str">
        <f>_xlfn.CONCAT(Analisi_Voci!$B$7," (Adesivo)")</f>
        <v>Klima Flex (Adesivo)</v>
      </c>
      <c r="D23" t="str">
        <f>_xlfn.CONCAT("Eco Dur Zeta"," ",Analisi_Voci!$A$7)</f>
        <v>Eco Dur Zeta 100 mm</v>
      </c>
      <c r="E23" t="str">
        <f>_xlfn.CONCAT(Analisi_Voci!$C$10," ",Analisi_Voci!$E$10)</f>
        <v xml:space="preserve">Tassello a percussione Acciaio/Nylon </v>
      </c>
      <c r="F23" t="str">
        <f>_xlfn.CONCAT(Analisi_Voci!$D$7," (Rasante)")</f>
        <v>Keraklima Eco Granello (Rasante)</v>
      </c>
      <c r="G23" t="str">
        <f>Analisi_Voci!$C$7</f>
        <v>Rinforzo V50</v>
      </c>
      <c r="H23" t="str">
        <f>Analisi_Voci!$E$7</f>
        <v>Kerakover Acrilex Fondo</v>
      </c>
      <c r="I23" t="str">
        <f>_xlfn.CONCAT(Analisi_Voci!$F$7," ",Analisi_Voci!$A$10," ",Analisi_Voci!$B$10)</f>
        <v>Kerakover Acrilex Finish 1.0 Colorato B</v>
      </c>
    </row>
    <row r="24" spans="2:9" x14ac:dyDescent="0.25">
      <c r="C24" s="2"/>
    </row>
  </sheetData>
  <phoneticPr fontId="4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DB8B5-F7BF-4A57-A2B7-E31665112D52}">
  <sheetPr codeName="Foglio14"/>
  <dimension ref="B2:G187"/>
  <sheetViews>
    <sheetView topLeftCell="A26" workbookViewId="0">
      <selection activeCell="A12" sqref="A12:G17"/>
    </sheetView>
  </sheetViews>
  <sheetFormatPr defaultRowHeight="12.5" x14ac:dyDescent="0.25"/>
  <cols>
    <col min="2" max="2" width="44.08984375" bestFit="1" customWidth="1"/>
    <col min="3" max="3" width="42.08984375" customWidth="1"/>
    <col min="4" max="4" width="21.453125" style="18" customWidth="1"/>
    <col min="6" max="6" width="33.7265625" customWidth="1"/>
    <col min="7" max="7" width="29.81640625" customWidth="1"/>
    <col min="8" max="8" width="22.26953125" bestFit="1" customWidth="1"/>
  </cols>
  <sheetData>
    <row r="2" spans="2:7" x14ac:dyDescent="0.25">
      <c r="B2" s="2" t="s">
        <v>44</v>
      </c>
      <c r="C2" s="2" t="s">
        <v>42</v>
      </c>
      <c r="D2" s="17" t="s">
        <v>43</v>
      </c>
      <c r="F2" s="2" t="s">
        <v>45</v>
      </c>
      <c r="G2" s="2" t="s">
        <v>46</v>
      </c>
    </row>
    <row r="3" spans="2:7" ht="13" x14ac:dyDescent="0.3">
      <c r="B3" s="15" t="s">
        <v>327</v>
      </c>
      <c r="C3" t="s">
        <v>141</v>
      </c>
      <c r="D3" s="18">
        <v>4</v>
      </c>
      <c r="F3" s="3">
        <f ca="1">IFERROR(IF(Analisi_Voci!D54="kg/mq",Analisi_Voci!E54,IF(Analisi_Voci!D54="l/mq",Analisi_Voci!E54,VLOOKUP(Analisi_Voci!A54,CAR_MAT,4,FALSE))),0)</f>
        <v>5</v>
      </c>
    </row>
    <row r="4" spans="2:7" ht="13" x14ac:dyDescent="0.3">
      <c r="B4" s="15" t="s">
        <v>328</v>
      </c>
      <c r="C4" t="s">
        <v>142</v>
      </c>
      <c r="D4" s="18">
        <v>4</v>
      </c>
      <c r="F4" s="3">
        <f ca="1">IFERROR(IF(Analisi_Voci!D55="kg/mq",Analisi_Voci!E55,IF(Analisi_Voci!D55="l/mq",Analisi_Voci!E55,VLOOKUP(Analisi_Voci!A55,CAR_MAT,4,FALSE))),0)</f>
        <v>10.5</v>
      </c>
    </row>
    <row r="5" spans="2:7" ht="13" x14ac:dyDescent="0.3">
      <c r="B5" s="15" t="s">
        <v>329</v>
      </c>
      <c r="C5" t="s">
        <v>143</v>
      </c>
      <c r="D5" s="18">
        <v>5</v>
      </c>
      <c r="F5" s="3">
        <f ca="1">IFERROR(IF(Analisi_Voci!D56="kg/mq",Analisi_Voci!E56,IF(Analisi_Voci!D56="l/mq",Analisi_Voci!E56,VLOOKUP(Analisi_Voci!A56,CAR_MAT,4,FALSE))),0)</f>
        <v>0</v>
      </c>
    </row>
    <row r="6" spans="2:7" ht="13" x14ac:dyDescent="0.3">
      <c r="B6" s="15" t="s">
        <v>330</v>
      </c>
      <c r="C6" t="s">
        <v>144</v>
      </c>
      <c r="D6" s="18">
        <v>5</v>
      </c>
      <c r="F6" s="3">
        <f ca="1">IFERROR(IF(Analisi_Voci!D57="kg/mq",Analisi_Voci!E57,IF(Analisi_Voci!D57="l/mq",Analisi_Voci!E57,VLOOKUP(Analisi_Voci!A57,CAR_MAT,4,FALSE))),0)</f>
        <v>8</v>
      </c>
    </row>
    <row r="7" spans="2:7" ht="13" x14ac:dyDescent="0.3">
      <c r="B7" s="15" t="s">
        <v>331</v>
      </c>
      <c r="C7" t="s">
        <v>146</v>
      </c>
      <c r="D7" s="18">
        <v>3.5</v>
      </c>
      <c r="F7" s="3">
        <f ca="1">IFERROR(IF(Analisi_Voci!D58="kg/mq",Analisi_Voci!E58,IF(Analisi_Voci!D58="l/mq",Analisi_Voci!E58,VLOOKUP(Analisi_Voci!A58,CAR_MAT,4,FALSE))),0)</f>
        <v>0.16</v>
      </c>
    </row>
    <row r="8" spans="2:7" ht="13" x14ac:dyDescent="0.3">
      <c r="B8" s="15" t="s">
        <v>332</v>
      </c>
      <c r="C8" t="s">
        <v>147</v>
      </c>
      <c r="D8" s="18">
        <v>4</v>
      </c>
      <c r="F8" s="3">
        <f ca="1">IFERROR(IF(Analisi_Voci!D59="kg/mq",Analisi_Voci!E59,IF(Analisi_Voci!D59="l/mq",Analisi_Voci!E59,VLOOKUP(Analisi_Voci!A59,CAR_MAT,4,FALSE))),0)</f>
        <v>0.2</v>
      </c>
    </row>
    <row r="9" spans="2:7" ht="13" x14ac:dyDescent="0.3">
      <c r="B9" s="15" t="s">
        <v>333</v>
      </c>
      <c r="C9" t="s">
        <v>148</v>
      </c>
      <c r="D9" s="18">
        <v>4</v>
      </c>
      <c r="F9" s="3">
        <f ca="1">IFERROR(IF(Analisi_Voci!D60="kg/mq",Analisi_Voci!E60,IF(Analisi_Voci!D60="l/mq",Analisi_Voci!E60,VLOOKUP(Analisi_Voci!A60,CAR_MAT,4,FALSE))),0)</f>
        <v>1.8</v>
      </c>
    </row>
    <row r="10" spans="2:7" ht="13" x14ac:dyDescent="0.3">
      <c r="B10" s="15" t="s">
        <v>334</v>
      </c>
      <c r="C10" t="s">
        <v>145</v>
      </c>
      <c r="D10" s="18">
        <v>3.5</v>
      </c>
      <c r="F10" s="3">
        <f ca="1">IFERROR(IF(Analisi_Voci!D61="kg/mq",Analisi_Voci!E61,IF(Analisi_Voci!D61="l/mq",Analisi_Voci!E61,VLOOKUP(Analisi_Voci!A61,CAR_MAT,4,FALSE))),0)</f>
        <v>0</v>
      </c>
    </row>
    <row r="11" spans="2:7" ht="13" x14ac:dyDescent="0.3">
      <c r="B11" s="15" t="s">
        <v>335</v>
      </c>
      <c r="C11" t="s">
        <v>141</v>
      </c>
      <c r="D11" s="18">
        <f>1.5*5</f>
        <v>7.5</v>
      </c>
      <c r="F11" s="3">
        <f ca="1">IFERROR(IF(Analisi_Voci!D62="kg/mq",Analisi_Voci!E62,IF(Analisi_Voci!D62="l/mq",Analisi_Voci!E62,VLOOKUP(Analisi_Voci!A62,CAR_MAT,4,FALSE))),0)</f>
        <v>0</v>
      </c>
    </row>
    <row r="12" spans="2:7" ht="13" x14ac:dyDescent="0.3">
      <c r="B12" s="15" t="s">
        <v>336</v>
      </c>
      <c r="C12" t="s">
        <v>142</v>
      </c>
      <c r="D12" s="18">
        <f>1.5*5</f>
        <v>7.5</v>
      </c>
      <c r="F12" s="3">
        <f ca="1">IFERROR(IF(Analisi_Voci!D63="kg/mq",Analisi_Voci!E63,IF(Analisi_Voci!D63="l/mq",Analisi_Voci!E63,VLOOKUP(Analisi_Voci!A63,CAR_MAT,4,FALSE))),0)</f>
        <v>0</v>
      </c>
    </row>
    <row r="13" spans="2:7" ht="13" x14ac:dyDescent="0.3">
      <c r="B13" s="15" t="s">
        <v>337</v>
      </c>
      <c r="C13" t="s">
        <v>143</v>
      </c>
      <c r="D13" s="18">
        <f>1.6*5</f>
        <v>8</v>
      </c>
      <c r="F13" s="3">
        <f ca="1">IFERROR(IF(Analisi_Voci!D64="kg/mq",Analisi_Voci!E64,IF(Analisi_Voci!D64="l/mq",Analisi_Voci!E64,VLOOKUP(Analisi_Voci!A64,CAR_MAT,4,FALSE))),0)</f>
        <v>0</v>
      </c>
    </row>
    <row r="14" spans="2:7" ht="13" x14ac:dyDescent="0.3">
      <c r="B14" s="15" t="s">
        <v>338</v>
      </c>
      <c r="C14" t="s">
        <v>144</v>
      </c>
      <c r="D14" s="18">
        <f>1.6*5</f>
        <v>8</v>
      </c>
      <c r="F14" s="3">
        <f ca="1">IFERROR(IF(Analisi_Voci!D65="kg/mq",Analisi_Voci!E65,IF(Analisi_Voci!D65="l/mq",Analisi_Voci!E65,VLOOKUP(Analisi_Voci!A65,CAR_MAT,4,FALSE))),0)</f>
        <v>0</v>
      </c>
    </row>
    <row r="15" spans="2:7" ht="13" x14ac:dyDescent="0.3">
      <c r="B15" s="15" t="s">
        <v>339</v>
      </c>
      <c r="C15" t="s">
        <v>146</v>
      </c>
      <c r="D15" s="18">
        <f>1*5</f>
        <v>5</v>
      </c>
      <c r="F15" s="3">
        <f ca="1">IFERROR(IF(Analisi_Voci!D66="kg/mq",Analisi_Voci!E66,IF(Analisi_Voci!D66="l/mq",Analisi_Voci!E66,VLOOKUP(Analisi_Voci!A66,CAR_MAT,4,FALSE))),0)</f>
        <v>0</v>
      </c>
    </row>
    <row r="16" spans="2:7" ht="13" x14ac:dyDescent="0.3">
      <c r="B16" s="15" t="s">
        <v>340</v>
      </c>
      <c r="C16" t="s">
        <v>147</v>
      </c>
      <c r="D16" s="18">
        <f>1.5*5</f>
        <v>7.5</v>
      </c>
      <c r="F16" s="3">
        <f ca="1">SUM(ausiliaria_noli[Ausiliaria per calcolo noli e trasporti])</f>
        <v>25.66</v>
      </c>
    </row>
    <row r="17" spans="2:6" ht="13" x14ac:dyDescent="0.3">
      <c r="B17" s="15" t="s">
        <v>341</v>
      </c>
      <c r="C17" t="s">
        <v>148</v>
      </c>
      <c r="D17" s="18">
        <f>1.5*5</f>
        <v>7.5</v>
      </c>
      <c r="F17" s="3"/>
    </row>
    <row r="18" spans="2:6" ht="13" x14ac:dyDescent="0.3">
      <c r="B18" s="15" t="s">
        <v>342</v>
      </c>
      <c r="C18" t="s">
        <v>145</v>
      </c>
      <c r="D18" s="18">
        <f>0.95*8</f>
        <v>7.6</v>
      </c>
    </row>
    <row r="19" spans="2:6" ht="13" x14ac:dyDescent="0.3">
      <c r="B19" s="15" t="s">
        <v>7</v>
      </c>
      <c r="C19" t="s">
        <v>7</v>
      </c>
      <c r="D19" s="18">
        <v>1.1000000000000001</v>
      </c>
    </row>
    <row r="20" spans="2:6" ht="13" x14ac:dyDescent="0.3">
      <c r="B20" s="15" t="s">
        <v>9</v>
      </c>
      <c r="C20" t="s">
        <v>9</v>
      </c>
      <c r="D20" s="18">
        <v>1.1000000000000001</v>
      </c>
    </row>
    <row r="21" spans="2:6" ht="13" x14ac:dyDescent="0.3">
      <c r="B21" s="15" t="s">
        <v>347</v>
      </c>
      <c r="C21" t="s">
        <v>347</v>
      </c>
      <c r="D21" s="18">
        <f>Analisi_Voci!$D$10</f>
        <v>0</v>
      </c>
    </row>
    <row r="22" spans="2:6" ht="13" x14ac:dyDescent="0.3">
      <c r="B22" s="15" t="s">
        <v>348</v>
      </c>
      <c r="C22" t="s">
        <v>348</v>
      </c>
      <c r="D22" s="18">
        <f>Analisi_Voci!$D$10</f>
        <v>0</v>
      </c>
    </row>
    <row r="23" spans="2:6" ht="13" x14ac:dyDescent="0.3">
      <c r="B23" s="15" t="s">
        <v>349</v>
      </c>
      <c r="C23" t="s">
        <v>349</v>
      </c>
      <c r="D23" s="18">
        <f>Analisi_Voci!$D$10</f>
        <v>0</v>
      </c>
    </row>
    <row r="24" spans="2:6" ht="13" x14ac:dyDescent="0.3">
      <c r="B24" s="15" t="s">
        <v>350</v>
      </c>
      <c r="C24" t="s">
        <v>350</v>
      </c>
      <c r="D24" s="18">
        <f>Analisi_Voci!$D$10</f>
        <v>0</v>
      </c>
    </row>
    <row r="25" spans="2:6" ht="13" x14ac:dyDescent="0.3">
      <c r="B25" s="15" t="s">
        <v>351</v>
      </c>
      <c r="C25" t="s">
        <v>351</v>
      </c>
      <c r="D25" s="18">
        <f>Analisi_Voci!$D$10</f>
        <v>0</v>
      </c>
    </row>
    <row r="26" spans="2:6" ht="13" x14ac:dyDescent="0.3">
      <c r="B26" s="15" t="s">
        <v>352</v>
      </c>
      <c r="C26" t="s">
        <v>352</v>
      </c>
      <c r="D26" s="18">
        <f>Analisi_Voci!$D$10</f>
        <v>0</v>
      </c>
    </row>
    <row r="27" spans="2:6" ht="13" x14ac:dyDescent="0.3">
      <c r="B27" s="99" t="s">
        <v>353</v>
      </c>
      <c r="C27" t="s">
        <v>353</v>
      </c>
      <c r="D27" s="18">
        <f>Analisi_Voci!$D$10</f>
        <v>0</v>
      </c>
    </row>
    <row r="28" spans="2:6" ht="13" x14ac:dyDescent="0.3">
      <c r="B28" s="15" t="s">
        <v>354</v>
      </c>
      <c r="C28" s="4" t="s">
        <v>354</v>
      </c>
      <c r="D28" s="18">
        <f>Analisi_Voci!$D$10</f>
        <v>0</v>
      </c>
    </row>
    <row r="29" spans="2:6" ht="13" x14ac:dyDescent="0.3">
      <c r="B29" s="15" t="s">
        <v>355</v>
      </c>
      <c r="C29" s="4" t="s">
        <v>355</v>
      </c>
      <c r="D29" s="18">
        <f>Analisi_Voci!$D$10</f>
        <v>0</v>
      </c>
    </row>
    <row r="30" spans="2:6" ht="13" x14ac:dyDescent="0.3">
      <c r="B30" s="15" t="s">
        <v>356</v>
      </c>
      <c r="C30" s="4" t="s">
        <v>356</v>
      </c>
      <c r="D30" s="18">
        <f>Analisi_Voci!$D$10</f>
        <v>0</v>
      </c>
    </row>
    <row r="31" spans="2:6" ht="13" x14ac:dyDescent="0.3">
      <c r="B31" s="15" t="s">
        <v>357</v>
      </c>
      <c r="C31" s="4" t="s">
        <v>357</v>
      </c>
      <c r="D31" s="18">
        <f>Analisi_Voci!$D$10</f>
        <v>0</v>
      </c>
    </row>
    <row r="32" spans="2:6" ht="13" x14ac:dyDescent="0.3">
      <c r="B32" s="15" t="s">
        <v>345</v>
      </c>
      <c r="C32" s="15" t="s">
        <v>345</v>
      </c>
      <c r="D32" s="18">
        <f>Analisi_Voci!$D$10</f>
        <v>0</v>
      </c>
    </row>
    <row r="33" spans="2:4" ht="13" x14ac:dyDescent="0.3">
      <c r="B33" s="15" t="s">
        <v>358</v>
      </c>
      <c r="C33" s="15" t="s">
        <v>358</v>
      </c>
      <c r="D33" s="18">
        <f>Analisi_Voci!$D$10</f>
        <v>0</v>
      </c>
    </row>
    <row r="34" spans="2:4" ht="13" x14ac:dyDescent="0.3">
      <c r="B34" s="15" t="s">
        <v>359</v>
      </c>
      <c r="C34" s="15" t="s">
        <v>359</v>
      </c>
      <c r="D34" s="18">
        <f>Analisi_Voci!$D$10</f>
        <v>0</v>
      </c>
    </row>
    <row r="35" spans="2:4" ht="13" x14ac:dyDescent="0.3">
      <c r="B35" s="15" t="s">
        <v>360</v>
      </c>
      <c r="C35" s="15" t="s">
        <v>360</v>
      </c>
      <c r="D35" s="18">
        <f>Analisi_Voci!$D$10</f>
        <v>0</v>
      </c>
    </row>
    <row r="36" spans="2:4" ht="13" x14ac:dyDescent="0.3">
      <c r="B36" s="15" t="s">
        <v>361</v>
      </c>
      <c r="C36" s="15" t="s">
        <v>361</v>
      </c>
      <c r="D36" s="18">
        <f>Analisi_Voci!$D$10</f>
        <v>0</v>
      </c>
    </row>
    <row r="37" spans="2:4" ht="13" x14ac:dyDescent="0.3">
      <c r="B37" s="15" t="s">
        <v>362</v>
      </c>
      <c r="C37" s="15" t="s">
        <v>362</v>
      </c>
      <c r="D37" s="18">
        <f>Analisi_Voci!$D$10</f>
        <v>0</v>
      </c>
    </row>
    <row r="38" spans="2:4" ht="13" x14ac:dyDescent="0.3">
      <c r="B38" s="15" t="s">
        <v>363</v>
      </c>
      <c r="C38" s="15" t="s">
        <v>363</v>
      </c>
      <c r="D38" s="18">
        <f>Analisi_Voci!$D$10</f>
        <v>0</v>
      </c>
    </row>
    <row r="39" spans="2:4" ht="13" x14ac:dyDescent="0.3">
      <c r="B39" s="15" t="s">
        <v>364</v>
      </c>
      <c r="C39" s="15" t="s">
        <v>364</v>
      </c>
      <c r="D39" s="18">
        <f>Analisi_Voci!$D$10</f>
        <v>0</v>
      </c>
    </row>
    <row r="40" spans="2:4" ht="13" x14ac:dyDescent="0.3">
      <c r="B40" s="15" t="s">
        <v>365</v>
      </c>
      <c r="C40" s="15" t="s">
        <v>365</v>
      </c>
      <c r="D40" s="18">
        <f>Analisi_Voci!$D$10</f>
        <v>0</v>
      </c>
    </row>
    <row r="41" spans="2:4" ht="13" x14ac:dyDescent="0.3">
      <c r="B41" s="15" t="s">
        <v>366</v>
      </c>
      <c r="C41" s="15" t="s">
        <v>366</v>
      </c>
      <c r="D41" s="18">
        <f>Analisi_Voci!$D$10</f>
        <v>0</v>
      </c>
    </row>
    <row r="42" spans="2:4" ht="13" x14ac:dyDescent="0.3">
      <c r="B42" s="15" t="s">
        <v>367</v>
      </c>
      <c r="C42" s="15" t="s">
        <v>367</v>
      </c>
      <c r="D42" s="18">
        <f>Analisi_Voci!$D$10</f>
        <v>0</v>
      </c>
    </row>
    <row r="43" spans="2:4" ht="13" x14ac:dyDescent="0.3">
      <c r="B43" s="15" t="s">
        <v>368</v>
      </c>
      <c r="C43" s="11" t="s">
        <v>368</v>
      </c>
      <c r="D43" s="18">
        <f>Analisi_Voci!$D$10</f>
        <v>0</v>
      </c>
    </row>
    <row r="44" spans="2:4" ht="13" x14ac:dyDescent="0.3">
      <c r="B44" s="15" t="s">
        <v>369</v>
      </c>
      <c r="C44" s="11" t="s">
        <v>369</v>
      </c>
      <c r="D44" s="18">
        <f>Analisi_Voci!$D$10</f>
        <v>0</v>
      </c>
    </row>
    <row r="45" spans="2:4" ht="13" x14ac:dyDescent="0.3">
      <c r="B45" s="15" t="s">
        <v>370</v>
      </c>
      <c r="C45" s="11" t="s">
        <v>370</v>
      </c>
      <c r="D45" s="18">
        <f>Analisi_Voci!$D$10</f>
        <v>0</v>
      </c>
    </row>
    <row r="46" spans="2:4" ht="13" x14ac:dyDescent="0.3">
      <c r="B46" s="15" t="s">
        <v>371</v>
      </c>
      <c r="C46" s="11" t="s">
        <v>371</v>
      </c>
      <c r="D46" s="18">
        <f>Analisi_Voci!$D$10</f>
        <v>0</v>
      </c>
    </row>
    <row r="47" spans="2:4" ht="13" x14ac:dyDescent="0.3">
      <c r="B47" s="15" t="s">
        <v>372</v>
      </c>
      <c r="C47" s="4" t="s">
        <v>372</v>
      </c>
      <c r="D47" s="18">
        <f>Analisi_Voci!$D$10</f>
        <v>0</v>
      </c>
    </row>
    <row r="48" spans="2:4" ht="13" x14ac:dyDescent="0.3">
      <c r="B48" s="15" t="s">
        <v>373</v>
      </c>
      <c r="C48" s="4" t="s">
        <v>373</v>
      </c>
      <c r="D48" s="18">
        <f>Analisi_Voci!$D$10</f>
        <v>0</v>
      </c>
    </row>
    <row r="49" spans="2:4" ht="13" x14ac:dyDescent="0.3">
      <c r="B49" s="15" t="s">
        <v>374</v>
      </c>
      <c r="C49" s="4" t="s">
        <v>374</v>
      </c>
      <c r="D49" s="18">
        <f>Analisi_Voci!$D$10</f>
        <v>0</v>
      </c>
    </row>
    <row r="50" spans="2:4" ht="13" x14ac:dyDescent="0.3">
      <c r="B50" s="15" t="s">
        <v>375</v>
      </c>
      <c r="C50" s="11" t="s">
        <v>375</v>
      </c>
      <c r="D50" s="18">
        <f>Analisi_Voci!$D$10</f>
        <v>0</v>
      </c>
    </row>
    <row r="51" spans="2:4" ht="13" x14ac:dyDescent="0.3">
      <c r="B51" s="15" t="s">
        <v>561</v>
      </c>
      <c r="C51" s="11" t="s">
        <v>561</v>
      </c>
      <c r="D51" s="18">
        <f>Analisi_Voci!$D$10</f>
        <v>0</v>
      </c>
    </row>
    <row r="52" spans="2:4" ht="13" x14ac:dyDescent="0.3">
      <c r="B52" s="15" t="s">
        <v>584</v>
      </c>
      <c r="C52" s="11" t="s">
        <v>584</v>
      </c>
      <c r="D52" s="18">
        <f>Analisi_Voci!$D$10</f>
        <v>0</v>
      </c>
    </row>
    <row r="53" spans="2:4" ht="13" x14ac:dyDescent="0.3">
      <c r="B53" s="15" t="s">
        <v>585</v>
      </c>
      <c r="C53" s="11" t="s">
        <v>585</v>
      </c>
      <c r="D53" s="18">
        <f>Analisi_Voci!$D$10</f>
        <v>0</v>
      </c>
    </row>
    <row r="54" spans="2:4" ht="13" x14ac:dyDescent="0.3">
      <c r="B54" s="15" t="s">
        <v>586</v>
      </c>
      <c r="C54" s="11" t="s">
        <v>586</v>
      </c>
      <c r="D54" s="18">
        <f>Analisi_Voci!$D$10</f>
        <v>0</v>
      </c>
    </row>
    <row r="55" spans="2:4" ht="13" x14ac:dyDescent="0.3">
      <c r="B55" s="15" t="s">
        <v>587</v>
      </c>
      <c r="C55" s="11" t="s">
        <v>587</v>
      </c>
      <c r="D55" s="18">
        <f>Analisi_Voci!$D$10</f>
        <v>0</v>
      </c>
    </row>
    <row r="56" spans="2:4" ht="13" x14ac:dyDescent="0.3">
      <c r="B56" s="15" t="s">
        <v>588</v>
      </c>
      <c r="C56" s="11" t="s">
        <v>588</v>
      </c>
      <c r="D56" s="18">
        <f>Analisi_Voci!$D$10</f>
        <v>0</v>
      </c>
    </row>
    <row r="57" spans="2:4" ht="13" x14ac:dyDescent="0.3">
      <c r="B57" s="15" t="s">
        <v>589</v>
      </c>
      <c r="C57" s="11" t="s">
        <v>589</v>
      </c>
      <c r="D57" s="18">
        <f>Analisi_Voci!$D$10</f>
        <v>0</v>
      </c>
    </row>
    <row r="58" spans="2:4" ht="13" x14ac:dyDescent="0.3">
      <c r="B58" s="15" t="s">
        <v>590</v>
      </c>
      <c r="C58" s="11" t="s">
        <v>590</v>
      </c>
      <c r="D58" s="18">
        <f>Analisi_Voci!$D$10</f>
        <v>0</v>
      </c>
    </row>
    <row r="59" spans="2:4" ht="13" x14ac:dyDescent="0.3">
      <c r="B59" s="15" t="s">
        <v>591</v>
      </c>
      <c r="C59" s="11" t="s">
        <v>591</v>
      </c>
      <c r="D59" s="18">
        <f>Analisi_Voci!$D$10</f>
        <v>0</v>
      </c>
    </row>
    <row r="60" spans="2:4" ht="13" x14ac:dyDescent="0.3">
      <c r="B60" s="15" t="s">
        <v>592</v>
      </c>
      <c r="C60" s="11" t="s">
        <v>592</v>
      </c>
      <c r="D60" s="18">
        <f>Analisi_Voci!$D$10</f>
        <v>0</v>
      </c>
    </row>
    <row r="61" spans="2:4" ht="13" x14ac:dyDescent="0.3">
      <c r="B61" s="15" t="s">
        <v>593</v>
      </c>
      <c r="C61" s="11" t="s">
        <v>593</v>
      </c>
      <c r="D61" s="18">
        <f>Analisi_Voci!$D$10</f>
        <v>0</v>
      </c>
    </row>
    <row r="62" spans="2:4" ht="13" x14ac:dyDescent="0.3">
      <c r="B62" s="15" t="s">
        <v>594</v>
      </c>
      <c r="C62" s="11" t="s">
        <v>594</v>
      </c>
      <c r="D62" s="18">
        <f>Analisi_Voci!$D$10</f>
        <v>0</v>
      </c>
    </row>
    <row r="63" spans="2:4" ht="13" x14ac:dyDescent="0.3">
      <c r="B63" s="15" t="s">
        <v>376</v>
      </c>
      <c r="C63" s="11" t="s">
        <v>376</v>
      </c>
      <c r="D63" s="18">
        <f>Analisi_Voci!$D$10</f>
        <v>0</v>
      </c>
    </row>
    <row r="64" spans="2:4" ht="13" x14ac:dyDescent="0.3">
      <c r="B64" s="15" t="s">
        <v>377</v>
      </c>
      <c r="C64" s="11" t="s">
        <v>377</v>
      </c>
      <c r="D64" s="18">
        <f>Analisi_Voci!$D$10</f>
        <v>0</v>
      </c>
    </row>
    <row r="65" spans="2:4" ht="13" x14ac:dyDescent="0.3">
      <c r="B65" s="15" t="s">
        <v>378</v>
      </c>
      <c r="C65" s="11" t="s">
        <v>378</v>
      </c>
      <c r="D65" s="18">
        <f>Analisi_Voci!$D$10</f>
        <v>0</v>
      </c>
    </row>
    <row r="66" spans="2:4" ht="13" x14ac:dyDescent="0.3">
      <c r="B66" s="15" t="s">
        <v>379</v>
      </c>
      <c r="C66" s="11" t="s">
        <v>379</v>
      </c>
      <c r="D66" s="18">
        <f>Analisi_Voci!$D$10</f>
        <v>0</v>
      </c>
    </row>
    <row r="67" spans="2:4" ht="13" x14ac:dyDescent="0.3">
      <c r="B67" s="15" t="s">
        <v>380</v>
      </c>
      <c r="C67" s="11" t="s">
        <v>380</v>
      </c>
      <c r="D67" s="18">
        <f>Analisi_Voci!$D$10</f>
        <v>0</v>
      </c>
    </row>
    <row r="68" spans="2:4" ht="13" x14ac:dyDescent="0.3">
      <c r="B68" s="15" t="s">
        <v>381</v>
      </c>
      <c r="C68" s="11" t="s">
        <v>381</v>
      </c>
      <c r="D68" s="18">
        <f>Analisi_Voci!$D$10</f>
        <v>0</v>
      </c>
    </row>
    <row r="69" spans="2:4" ht="13" x14ac:dyDescent="0.3">
      <c r="B69" s="15" t="s">
        <v>382</v>
      </c>
      <c r="C69" s="11" t="s">
        <v>382</v>
      </c>
      <c r="D69" s="18">
        <f>Analisi_Voci!$D$10</f>
        <v>0</v>
      </c>
    </row>
    <row r="70" spans="2:4" ht="13" x14ac:dyDescent="0.3">
      <c r="B70" s="15" t="s">
        <v>383</v>
      </c>
      <c r="C70" s="11" t="s">
        <v>383</v>
      </c>
      <c r="D70" s="18">
        <f>Analisi_Voci!$D$10</f>
        <v>0</v>
      </c>
    </row>
    <row r="71" spans="2:4" x14ac:dyDescent="0.25">
      <c r="B71" s="11" t="s">
        <v>227</v>
      </c>
      <c r="C71" s="11" t="s">
        <v>227</v>
      </c>
      <c r="D71" s="18">
        <v>1</v>
      </c>
    </row>
    <row r="72" spans="2:4" x14ac:dyDescent="0.25">
      <c r="B72" s="11" t="s">
        <v>228</v>
      </c>
      <c r="C72" s="11" t="s">
        <v>228</v>
      </c>
      <c r="D72" s="18">
        <v>1</v>
      </c>
    </row>
    <row r="73" spans="2:4" x14ac:dyDescent="0.25">
      <c r="B73" s="11" t="s">
        <v>229</v>
      </c>
      <c r="C73" s="11" t="s">
        <v>229</v>
      </c>
      <c r="D73" s="18">
        <v>1</v>
      </c>
    </row>
    <row r="74" spans="2:4" x14ac:dyDescent="0.25">
      <c r="B74" s="4" t="s">
        <v>230</v>
      </c>
      <c r="C74" s="4" t="s">
        <v>230</v>
      </c>
      <c r="D74" s="18">
        <v>1</v>
      </c>
    </row>
    <row r="75" spans="2:4" x14ac:dyDescent="0.25">
      <c r="B75" s="11" t="s">
        <v>231</v>
      </c>
      <c r="C75" s="11" t="s">
        <v>231</v>
      </c>
      <c r="D75" s="18">
        <v>1</v>
      </c>
    </row>
    <row r="76" spans="2:4" x14ac:dyDescent="0.25">
      <c r="B76" s="2" t="s">
        <v>232</v>
      </c>
      <c r="C76" s="2" t="s">
        <v>232</v>
      </c>
      <c r="D76" s="18">
        <v>1</v>
      </c>
    </row>
    <row r="77" spans="2:4" x14ac:dyDescent="0.25">
      <c r="B77" s="2" t="s">
        <v>233</v>
      </c>
      <c r="C77" s="2" t="s">
        <v>233</v>
      </c>
      <c r="D77" s="18">
        <v>1</v>
      </c>
    </row>
    <row r="78" spans="2:4" x14ac:dyDescent="0.25">
      <c r="B78" s="2" t="s">
        <v>234</v>
      </c>
      <c r="C78" s="2" t="s">
        <v>234</v>
      </c>
      <c r="D78" s="18">
        <v>1</v>
      </c>
    </row>
    <row r="79" spans="2:4" x14ac:dyDescent="0.25">
      <c r="B79" s="2" t="s">
        <v>235</v>
      </c>
      <c r="C79" s="2" t="s">
        <v>235</v>
      </c>
      <c r="D79" s="18">
        <v>1</v>
      </c>
    </row>
    <row r="80" spans="2:4" x14ac:dyDescent="0.25">
      <c r="B80" s="2" t="s">
        <v>236</v>
      </c>
      <c r="C80" s="2" t="s">
        <v>236</v>
      </c>
      <c r="D80" s="18">
        <v>1</v>
      </c>
    </row>
    <row r="81" spans="2:4" x14ac:dyDescent="0.25">
      <c r="B81" s="2" t="s">
        <v>237</v>
      </c>
      <c r="C81" s="2" t="s">
        <v>237</v>
      </c>
      <c r="D81" s="18">
        <v>1</v>
      </c>
    </row>
    <row r="82" spans="2:4" x14ac:dyDescent="0.25">
      <c r="B82" s="2" t="s">
        <v>238</v>
      </c>
      <c r="C82" s="2" t="s">
        <v>238</v>
      </c>
      <c r="D82" s="18">
        <v>1</v>
      </c>
    </row>
    <row r="83" spans="2:4" x14ac:dyDescent="0.25">
      <c r="B83" s="2" t="s">
        <v>239</v>
      </c>
      <c r="C83" s="2" t="s">
        <v>239</v>
      </c>
      <c r="D83" s="18">
        <v>1</v>
      </c>
    </row>
    <row r="84" spans="2:4" x14ac:dyDescent="0.25">
      <c r="B84" s="2" t="s">
        <v>240</v>
      </c>
      <c r="C84" s="2" t="s">
        <v>240</v>
      </c>
      <c r="D84" s="18">
        <v>1</v>
      </c>
    </row>
    <row r="85" spans="2:4" x14ac:dyDescent="0.25">
      <c r="B85" s="2" t="s">
        <v>241</v>
      </c>
      <c r="C85" s="2" t="s">
        <v>241</v>
      </c>
      <c r="D85" s="18">
        <v>1</v>
      </c>
    </row>
    <row r="86" spans="2:4" x14ac:dyDescent="0.25">
      <c r="B86" s="2" t="s">
        <v>242</v>
      </c>
      <c r="C86" s="2" t="s">
        <v>242</v>
      </c>
      <c r="D86" s="18">
        <v>1</v>
      </c>
    </row>
    <row r="87" spans="2:4" x14ac:dyDescent="0.25">
      <c r="B87" s="2" t="s">
        <v>243</v>
      </c>
      <c r="C87" s="2" t="s">
        <v>243</v>
      </c>
      <c r="D87" s="18">
        <v>1</v>
      </c>
    </row>
    <row r="88" spans="2:4" x14ac:dyDescent="0.25">
      <c r="B88" s="2" t="s">
        <v>244</v>
      </c>
      <c r="C88" s="2" t="s">
        <v>244</v>
      </c>
      <c r="D88" s="18">
        <v>1</v>
      </c>
    </row>
    <row r="89" spans="2:4" x14ac:dyDescent="0.25">
      <c r="B89" s="2" t="s">
        <v>245</v>
      </c>
      <c r="C89" s="2" t="s">
        <v>245</v>
      </c>
      <c r="D89" s="18">
        <v>1</v>
      </c>
    </row>
    <row r="90" spans="2:4" x14ac:dyDescent="0.25">
      <c r="B90" t="s">
        <v>246</v>
      </c>
      <c r="C90" t="s">
        <v>246</v>
      </c>
      <c r="D90" s="18">
        <v>1</v>
      </c>
    </row>
    <row r="91" spans="2:4" x14ac:dyDescent="0.25">
      <c r="B91" t="s">
        <v>247</v>
      </c>
      <c r="C91" t="s">
        <v>247</v>
      </c>
      <c r="D91" s="18">
        <v>1</v>
      </c>
    </row>
    <row r="92" spans="2:4" x14ac:dyDescent="0.25">
      <c r="B92" t="s">
        <v>248</v>
      </c>
      <c r="C92" t="s">
        <v>248</v>
      </c>
      <c r="D92" s="18">
        <v>1</v>
      </c>
    </row>
    <row r="93" spans="2:4" x14ac:dyDescent="0.25">
      <c r="B93" t="s">
        <v>249</v>
      </c>
      <c r="C93" t="s">
        <v>249</v>
      </c>
      <c r="D93" s="18">
        <v>1</v>
      </c>
    </row>
    <row r="94" spans="2:4" x14ac:dyDescent="0.25">
      <c r="B94" t="s">
        <v>250</v>
      </c>
      <c r="C94" t="s">
        <v>250</v>
      </c>
      <c r="D94" s="18">
        <v>1</v>
      </c>
    </row>
    <row r="95" spans="2:4" x14ac:dyDescent="0.25">
      <c r="B95" t="s">
        <v>251</v>
      </c>
      <c r="C95" t="s">
        <v>251</v>
      </c>
      <c r="D95" s="18">
        <v>1</v>
      </c>
    </row>
    <row r="96" spans="2:4" x14ac:dyDescent="0.25">
      <c r="B96" t="s">
        <v>252</v>
      </c>
      <c r="C96" t="s">
        <v>252</v>
      </c>
      <c r="D96" s="18">
        <v>1</v>
      </c>
    </row>
    <row r="97" spans="2:4" x14ac:dyDescent="0.25">
      <c r="B97" t="s">
        <v>253</v>
      </c>
      <c r="C97" t="s">
        <v>253</v>
      </c>
      <c r="D97" s="18">
        <v>1</v>
      </c>
    </row>
    <row r="98" spans="2:4" x14ac:dyDescent="0.25">
      <c r="B98" t="s">
        <v>254</v>
      </c>
      <c r="C98" t="s">
        <v>254</v>
      </c>
      <c r="D98" s="18">
        <v>1</v>
      </c>
    </row>
    <row r="99" spans="2:4" x14ac:dyDescent="0.25">
      <c r="B99" t="s">
        <v>255</v>
      </c>
      <c r="C99" t="s">
        <v>255</v>
      </c>
      <c r="D99" s="18">
        <v>1</v>
      </c>
    </row>
    <row r="100" spans="2:4" x14ac:dyDescent="0.25">
      <c r="B100" t="s">
        <v>256</v>
      </c>
      <c r="C100" t="s">
        <v>256</v>
      </c>
      <c r="D100" s="18">
        <v>1</v>
      </c>
    </row>
    <row r="101" spans="2:4" x14ac:dyDescent="0.25">
      <c r="B101" t="s">
        <v>257</v>
      </c>
      <c r="C101" t="s">
        <v>257</v>
      </c>
      <c r="D101" s="18">
        <v>1</v>
      </c>
    </row>
    <row r="102" spans="2:4" x14ac:dyDescent="0.25">
      <c r="B102" t="s">
        <v>258</v>
      </c>
      <c r="C102" t="s">
        <v>258</v>
      </c>
      <c r="D102" s="18">
        <v>1</v>
      </c>
    </row>
    <row r="103" spans="2:4" x14ac:dyDescent="0.25">
      <c r="B103" t="s">
        <v>259</v>
      </c>
      <c r="C103" t="s">
        <v>259</v>
      </c>
      <c r="D103" s="18">
        <v>1</v>
      </c>
    </row>
    <row r="104" spans="2:4" x14ac:dyDescent="0.25">
      <c r="B104" t="s">
        <v>260</v>
      </c>
      <c r="C104" t="s">
        <v>260</v>
      </c>
      <c r="D104" s="18">
        <v>1</v>
      </c>
    </row>
    <row r="105" spans="2:4" x14ac:dyDescent="0.25">
      <c r="B105" t="s">
        <v>261</v>
      </c>
      <c r="C105" t="s">
        <v>261</v>
      </c>
      <c r="D105" s="18">
        <v>1</v>
      </c>
    </row>
    <row r="106" spans="2:4" x14ac:dyDescent="0.25">
      <c r="B106" t="s">
        <v>262</v>
      </c>
      <c r="C106" t="s">
        <v>262</v>
      </c>
      <c r="D106" s="18">
        <v>1</v>
      </c>
    </row>
    <row r="107" spans="2:4" x14ac:dyDescent="0.25">
      <c r="B107" t="s">
        <v>263</v>
      </c>
      <c r="C107" t="s">
        <v>263</v>
      </c>
      <c r="D107" s="18">
        <v>1</v>
      </c>
    </row>
    <row r="108" spans="2:4" x14ac:dyDescent="0.25">
      <c r="B108" t="s">
        <v>264</v>
      </c>
      <c r="C108" t="s">
        <v>264</v>
      </c>
      <c r="D108" s="18">
        <v>1</v>
      </c>
    </row>
    <row r="109" spans="2:4" x14ac:dyDescent="0.25">
      <c r="B109" t="s">
        <v>265</v>
      </c>
      <c r="C109" t="s">
        <v>265</v>
      </c>
      <c r="D109" s="18">
        <v>1</v>
      </c>
    </row>
    <row r="110" spans="2:4" x14ac:dyDescent="0.25">
      <c r="B110" t="s">
        <v>266</v>
      </c>
      <c r="C110" t="s">
        <v>266</v>
      </c>
      <c r="D110" s="18">
        <v>1</v>
      </c>
    </row>
    <row r="111" spans="2:4" x14ac:dyDescent="0.25">
      <c r="B111" t="s">
        <v>267</v>
      </c>
      <c r="C111" t="s">
        <v>267</v>
      </c>
      <c r="D111" s="18">
        <v>1</v>
      </c>
    </row>
    <row r="112" spans="2:4" x14ac:dyDescent="0.25">
      <c r="B112" t="s">
        <v>268</v>
      </c>
      <c r="C112" t="s">
        <v>268</v>
      </c>
      <c r="D112" s="18">
        <v>1</v>
      </c>
    </row>
    <row r="113" spans="2:4" x14ac:dyDescent="0.25">
      <c r="B113" t="s">
        <v>269</v>
      </c>
      <c r="C113" t="s">
        <v>269</v>
      </c>
      <c r="D113" s="18">
        <v>1</v>
      </c>
    </row>
    <row r="114" spans="2:4" x14ac:dyDescent="0.25">
      <c r="B114" t="s">
        <v>270</v>
      </c>
      <c r="C114" t="s">
        <v>270</v>
      </c>
      <c r="D114" s="18">
        <v>1</v>
      </c>
    </row>
    <row r="115" spans="2:4" x14ac:dyDescent="0.25">
      <c r="B115" t="s">
        <v>271</v>
      </c>
      <c r="C115" t="s">
        <v>271</v>
      </c>
      <c r="D115" s="18">
        <v>1</v>
      </c>
    </row>
    <row r="116" spans="2:4" x14ac:dyDescent="0.25">
      <c r="B116" t="s">
        <v>272</v>
      </c>
      <c r="C116" t="s">
        <v>272</v>
      </c>
      <c r="D116" s="18">
        <v>1</v>
      </c>
    </row>
    <row r="117" spans="2:4" x14ac:dyDescent="0.25">
      <c r="B117" t="s">
        <v>273</v>
      </c>
      <c r="C117" t="s">
        <v>273</v>
      </c>
      <c r="D117" s="18">
        <v>1</v>
      </c>
    </row>
    <row r="118" spans="2:4" x14ac:dyDescent="0.25">
      <c r="B118" t="s">
        <v>274</v>
      </c>
      <c r="C118" t="s">
        <v>274</v>
      </c>
      <c r="D118" s="18">
        <v>1</v>
      </c>
    </row>
    <row r="119" spans="2:4" x14ac:dyDescent="0.25">
      <c r="B119" t="s">
        <v>275</v>
      </c>
      <c r="C119" t="s">
        <v>275</v>
      </c>
      <c r="D119" s="18">
        <v>1</v>
      </c>
    </row>
    <row r="120" spans="2:4" x14ac:dyDescent="0.25">
      <c r="B120" t="s">
        <v>276</v>
      </c>
      <c r="C120" t="s">
        <v>276</v>
      </c>
      <c r="D120" s="18">
        <v>1</v>
      </c>
    </row>
    <row r="121" spans="2:4" x14ac:dyDescent="0.25">
      <c r="B121" t="s">
        <v>277</v>
      </c>
      <c r="C121" t="s">
        <v>277</v>
      </c>
      <c r="D121" s="18">
        <v>1</v>
      </c>
    </row>
    <row r="122" spans="2:4" x14ac:dyDescent="0.25">
      <c r="B122" t="s">
        <v>278</v>
      </c>
      <c r="C122" t="s">
        <v>278</v>
      </c>
      <c r="D122" s="18">
        <v>1</v>
      </c>
    </row>
    <row r="123" spans="2:4" x14ac:dyDescent="0.25">
      <c r="B123" s="11" t="s">
        <v>177</v>
      </c>
      <c r="C123" s="11" t="s">
        <v>177</v>
      </c>
      <c r="D123" s="18">
        <v>0.2</v>
      </c>
    </row>
    <row r="124" spans="2:4" x14ac:dyDescent="0.25">
      <c r="B124" s="11" t="s">
        <v>163</v>
      </c>
      <c r="C124" s="11" t="s">
        <v>163</v>
      </c>
      <c r="D124" s="18">
        <v>0.2</v>
      </c>
    </row>
    <row r="125" spans="2:4" ht="13" thickBot="1" x14ac:dyDescent="0.3">
      <c r="B125" s="73" t="s">
        <v>178</v>
      </c>
      <c r="C125" s="73" t="s">
        <v>178</v>
      </c>
      <c r="D125" s="18">
        <v>0.25</v>
      </c>
    </row>
    <row r="126" spans="2:4" x14ac:dyDescent="0.25">
      <c r="B126" t="s">
        <v>386</v>
      </c>
      <c r="C126" t="s">
        <v>386</v>
      </c>
      <c r="D126" s="18">
        <v>1.8</v>
      </c>
    </row>
    <row r="127" spans="2:4" x14ac:dyDescent="0.25">
      <c r="B127" t="s">
        <v>387</v>
      </c>
      <c r="C127" t="s">
        <v>387</v>
      </c>
      <c r="D127" s="18">
        <v>1.8</v>
      </c>
    </row>
    <row r="128" spans="2:4" x14ac:dyDescent="0.25">
      <c r="B128" t="s">
        <v>388</v>
      </c>
      <c r="C128" t="s">
        <v>388</v>
      </c>
      <c r="D128" s="18">
        <v>1.8</v>
      </c>
    </row>
    <row r="129" spans="2:4" x14ac:dyDescent="0.25">
      <c r="B129" t="s">
        <v>389</v>
      </c>
      <c r="C129" t="s">
        <v>389</v>
      </c>
      <c r="D129" s="18">
        <v>1.8</v>
      </c>
    </row>
    <row r="130" spans="2:4" x14ac:dyDescent="0.25">
      <c r="B130" t="s">
        <v>390</v>
      </c>
      <c r="C130" t="s">
        <v>390</v>
      </c>
      <c r="D130" s="18">
        <v>2.1</v>
      </c>
    </row>
    <row r="131" spans="2:4" x14ac:dyDescent="0.25">
      <c r="B131" t="s">
        <v>391</v>
      </c>
      <c r="C131" t="s">
        <v>391</v>
      </c>
      <c r="D131" s="18">
        <v>2.1</v>
      </c>
    </row>
    <row r="132" spans="2:4" x14ac:dyDescent="0.25">
      <c r="B132" t="s">
        <v>392</v>
      </c>
      <c r="C132" t="s">
        <v>392</v>
      </c>
      <c r="D132" s="18">
        <v>2.1</v>
      </c>
    </row>
    <row r="133" spans="2:4" x14ac:dyDescent="0.25">
      <c r="B133" t="s">
        <v>393</v>
      </c>
      <c r="C133" t="s">
        <v>393</v>
      </c>
      <c r="D133" s="18">
        <v>2.1</v>
      </c>
    </row>
    <row r="134" spans="2:4" x14ac:dyDescent="0.25">
      <c r="B134" t="s">
        <v>394</v>
      </c>
      <c r="C134" t="s">
        <v>394</v>
      </c>
      <c r="D134" s="18">
        <v>2.4</v>
      </c>
    </row>
    <row r="135" spans="2:4" x14ac:dyDescent="0.25">
      <c r="B135" t="s">
        <v>395</v>
      </c>
      <c r="C135" t="s">
        <v>395</v>
      </c>
      <c r="D135" s="18">
        <v>2.4</v>
      </c>
    </row>
    <row r="136" spans="2:4" x14ac:dyDescent="0.25">
      <c r="B136" t="s">
        <v>396</v>
      </c>
      <c r="C136" t="s">
        <v>396</v>
      </c>
      <c r="D136" s="18">
        <v>2.4</v>
      </c>
    </row>
    <row r="137" spans="2:4" x14ac:dyDescent="0.25">
      <c r="B137" t="s">
        <v>397</v>
      </c>
      <c r="C137" t="s">
        <v>397</v>
      </c>
      <c r="D137" s="18">
        <v>2.4</v>
      </c>
    </row>
    <row r="138" spans="2:4" x14ac:dyDescent="0.25">
      <c r="B138" t="s">
        <v>398</v>
      </c>
      <c r="C138" t="s">
        <v>398</v>
      </c>
      <c r="D138" s="18">
        <v>1.8</v>
      </c>
    </row>
    <row r="139" spans="2:4" x14ac:dyDescent="0.25">
      <c r="B139" t="s">
        <v>399</v>
      </c>
      <c r="C139" t="s">
        <v>399</v>
      </c>
      <c r="D139" s="18">
        <v>1.8</v>
      </c>
    </row>
    <row r="140" spans="2:4" x14ac:dyDescent="0.25">
      <c r="B140" t="s">
        <v>400</v>
      </c>
      <c r="C140" t="s">
        <v>400</v>
      </c>
      <c r="D140" s="18">
        <v>1.8</v>
      </c>
    </row>
    <row r="141" spans="2:4" x14ac:dyDescent="0.25">
      <c r="B141" t="s">
        <v>401</v>
      </c>
      <c r="C141" t="s">
        <v>401</v>
      </c>
      <c r="D141" s="18">
        <v>1.8</v>
      </c>
    </row>
    <row r="142" spans="2:4" x14ac:dyDescent="0.25">
      <c r="B142" t="s">
        <v>402</v>
      </c>
      <c r="C142" t="s">
        <v>402</v>
      </c>
      <c r="D142" s="18">
        <v>1.8</v>
      </c>
    </row>
    <row r="143" spans="2:4" x14ac:dyDescent="0.25">
      <c r="B143" t="s">
        <v>403</v>
      </c>
      <c r="C143" t="s">
        <v>403</v>
      </c>
      <c r="D143" s="18">
        <v>2.1</v>
      </c>
    </row>
    <row r="144" spans="2:4" x14ac:dyDescent="0.25">
      <c r="B144" t="s">
        <v>404</v>
      </c>
      <c r="C144" t="s">
        <v>404</v>
      </c>
      <c r="D144" s="18">
        <v>2.1</v>
      </c>
    </row>
    <row r="145" spans="2:4" x14ac:dyDescent="0.25">
      <c r="B145" t="s">
        <v>405</v>
      </c>
      <c r="C145" t="s">
        <v>405</v>
      </c>
      <c r="D145" s="18">
        <v>2.1</v>
      </c>
    </row>
    <row r="146" spans="2:4" x14ac:dyDescent="0.25">
      <c r="B146" t="s">
        <v>406</v>
      </c>
      <c r="C146" t="s">
        <v>406</v>
      </c>
      <c r="D146" s="18">
        <v>2.1</v>
      </c>
    </row>
    <row r="147" spans="2:4" x14ac:dyDescent="0.25">
      <c r="B147" t="s">
        <v>407</v>
      </c>
      <c r="C147" t="s">
        <v>407</v>
      </c>
      <c r="D147" s="18">
        <v>2.1</v>
      </c>
    </row>
    <row r="148" spans="2:4" x14ac:dyDescent="0.25">
      <c r="B148" t="s">
        <v>408</v>
      </c>
      <c r="C148" t="s">
        <v>408</v>
      </c>
      <c r="D148" s="18">
        <v>2.4</v>
      </c>
    </row>
    <row r="149" spans="2:4" x14ac:dyDescent="0.25">
      <c r="B149" t="s">
        <v>409</v>
      </c>
      <c r="C149" t="s">
        <v>409</v>
      </c>
      <c r="D149" s="18">
        <v>2.4</v>
      </c>
    </row>
    <row r="150" spans="2:4" x14ac:dyDescent="0.25">
      <c r="B150" t="s">
        <v>410</v>
      </c>
      <c r="C150" t="s">
        <v>410</v>
      </c>
      <c r="D150" s="18">
        <v>2.4</v>
      </c>
    </row>
    <row r="151" spans="2:4" x14ac:dyDescent="0.25">
      <c r="B151" t="s">
        <v>411</v>
      </c>
      <c r="C151" t="s">
        <v>411</v>
      </c>
      <c r="D151" s="18">
        <v>2.4</v>
      </c>
    </row>
    <row r="152" spans="2:4" x14ac:dyDescent="0.25">
      <c r="B152" t="s">
        <v>412</v>
      </c>
      <c r="C152" t="s">
        <v>412</v>
      </c>
      <c r="D152" s="18">
        <v>2.4</v>
      </c>
    </row>
    <row r="153" spans="2:4" x14ac:dyDescent="0.25">
      <c r="B153" s="2" t="s">
        <v>413</v>
      </c>
      <c r="C153" t="s">
        <v>413</v>
      </c>
      <c r="D153" s="18">
        <v>2.1</v>
      </c>
    </row>
    <row r="154" spans="2:4" x14ac:dyDescent="0.25">
      <c r="B154" t="s">
        <v>414</v>
      </c>
      <c r="C154" t="s">
        <v>414</v>
      </c>
      <c r="D154" s="18">
        <v>2.1</v>
      </c>
    </row>
    <row r="155" spans="2:4" x14ac:dyDescent="0.25">
      <c r="B155" t="s">
        <v>415</v>
      </c>
      <c r="C155" t="s">
        <v>415</v>
      </c>
      <c r="D155" s="18">
        <v>2.1</v>
      </c>
    </row>
    <row r="156" spans="2:4" x14ac:dyDescent="0.25">
      <c r="B156" t="s">
        <v>416</v>
      </c>
      <c r="C156" t="s">
        <v>416</v>
      </c>
      <c r="D156" s="18">
        <v>2.1</v>
      </c>
    </row>
    <row r="157" spans="2:4" x14ac:dyDescent="0.25">
      <c r="B157" t="s">
        <v>417</v>
      </c>
      <c r="C157" t="s">
        <v>417</v>
      </c>
      <c r="D157" s="18">
        <v>2.1</v>
      </c>
    </row>
    <row r="158" spans="2:4" x14ac:dyDescent="0.25">
      <c r="B158" s="2" t="s">
        <v>452</v>
      </c>
      <c r="C158" t="s">
        <v>418</v>
      </c>
      <c r="D158" s="18">
        <v>2.4</v>
      </c>
    </row>
    <row r="159" spans="2:4" x14ac:dyDescent="0.25">
      <c r="B159" s="2" t="s">
        <v>448</v>
      </c>
      <c r="C159" t="s">
        <v>419</v>
      </c>
      <c r="D159" s="18">
        <v>2.4</v>
      </c>
    </row>
    <row r="160" spans="2:4" x14ac:dyDescent="0.25">
      <c r="B160" s="2" t="s">
        <v>449</v>
      </c>
      <c r="C160" t="s">
        <v>420</v>
      </c>
      <c r="D160" s="18">
        <v>2.4</v>
      </c>
    </row>
    <row r="161" spans="2:6" x14ac:dyDescent="0.25">
      <c r="B161" s="2" t="s">
        <v>450</v>
      </c>
      <c r="C161" t="s">
        <v>421</v>
      </c>
      <c r="D161" s="18">
        <v>2.4</v>
      </c>
    </row>
    <row r="162" spans="2:6" x14ac:dyDescent="0.25">
      <c r="B162" s="2" t="s">
        <v>451</v>
      </c>
      <c r="C162" t="s">
        <v>422</v>
      </c>
      <c r="D162" s="18">
        <v>2.4</v>
      </c>
    </row>
    <row r="163" spans="2:6" x14ac:dyDescent="0.25">
      <c r="B163" t="s">
        <v>426</v>
      </c>
      <c r="C163" t="s">
        <v>426</v>
      </c>
      <c r="D163" s="18">
        <v>1.8</v>
      </c>
    </row>
    <row r="164" spans="2:6" x14ac:dyDescent="0.25">
      <c r="B164" t="s">
        <v>427</v>
      </c>
      <c r="C164" t="s">
        <v>427</v>
      </c>
      <c r="D164" s="18">
        <v>1.8</v>
      </c>
    </row>
    <row r="165" spans="2:6" x14ac:dyDescent="0.25">
      <c r="B165" t="s">
        <v>428</v>
      </c>
      <c r="C165" t="s">
        <v>428</v>
      </c>
      <c r="D165" s="18">
        <v>1.8</v>
      </c>
    </row>
    <row r="166" spans="2:6" x14ac:dyDescent="0.25">
      <c r="B166" t="s">
        <v>429</v>
      </c>
      <c r="C166" t="s">
        <v>429</v>
      </c>
      <c r="D166" s="18">
        <v>1.8</v>
      </c>
    </row>
    <row r="167" spans="2:6" x14ac:dyDescent="0.25">
      <c r="B167" t="s">
        <v>430</v>
      </c>
      <c r="C167" t="s">
        <v>430</v>
      </c>
      <c r="D167" s="18">
        <v>2.1</v>
      </c>
    </row>
    <row r="168" spans="2:6" x14ac:dyDescent="0.25">
      <c r="B168" t="s">
        <v>431</v>
      </c>
      <c r="C168" t="s">
        <v>431</v>
      </c>
      <c r="D168" s="18">
        <v>2.1</v>
      </c>
    </row>
    <row r="169" spans="2:6" x14ac:dyDescent="0.25">
      <c r="B169" t="s">
        <v>432</v>
      </c>
      <c r="C169" t="s">
        <v>432</v>
      </c>
      <c r="D169" s="18">
        <v>2.1</v>
      </c>
    </row>
    <row r="170" spans="2:6" x14ac:dyDescent="0.25">
      <c r="B170" t="s">
        <v>433</v>
      </c>
      <c r="C170" t="s">
        <v>433</v>
      </c>
      <c r="D170" s="18">
        <v>2.1</v>
      </c>
    </row>
    <row r="171" spans="2:6" x14ac:dyDescent="0.25">
      <c r="B171" t="s">
        <v>434</v>
      </c>
      <c r="C171" t="s">
        <v>434</v>
      </c>
      <c r="D171" s="18">
        <v>2.4</v>
      </c>
    </row>
    <row r="172" spans="2:6" x14ac:dyDescent="0.25">
      <c r="B172" t="s">
        <v>435</v>
      </c>
      <c r="C172" t="s">
        <v>435</v>
      </c>
      <c r="D172" s="18">
        <v>2.4</v>
      </c>
    </row>
    <row r="173" spans="2:6" x14ac:dyDescent="0.25">
      <c r="B173" t="s">
        <v>436</v>
      </c>
      <c r="C173" t="s">
        <v>436</v>
      </c>
      <c r="D173" s="18">
        <v>2.4</v>
      </c>
    </row>
    <row r="174" spans="2:6" x14ac:dyDescent="0.25">
      <c r="B174" t="s">
        <v>437</v>
      </c>
      <c r="C174" t="s">
        <v>437</v>
      </c>
      <c r="D174" s="18">
        <v>2.4</v>
      </c>
    </row>
    <row r="175" spans="2:6" x14ac:dyDescent="0.25">
      <c r="B175" s="2" t="s">
        <v>536</v>
      </c>
      <c r="C175" s="2" t="s">
        <v>536</v>
      </c>
      <c r="D175" s="18">
        <v>1</v>
      </c>
      <c r="F175" s="2"/>
    </row>
    <row r="176" spans="2:6" x14ac:dyDescent="0.25">
      <c r="B176" t="s">
        <v>537</v>
      </c>
      <c r="C176" t="s">
        <v>537</v>
      </c>
      <c r="D176" s="18">
        <v>1</v>
      </c>
    </row>
    <row r="177" spans="2:4" x14ac:dyDescent="0.25">
      <c r="B177" t="s">
        <v>538</v>
      </c>
      <c r="C177" t="s">
        <v>538</v>
      </c>
      <c r="D177" s="18">
        <v>1</v>
      </c>
    </row>
    <row r="178" spans="2:4" x14ac:dyDescent="0.25">
      <c r="B178" t="s">
        <v>539</v>
      </c>
      <c r="C178" t="s">
        <v>539</v>
      </c>
      <c r="D178" s="18">
        <v>1</v>
      </c>
    </row>
    <row r="179" spans="2:4" x14ac:dyDescent="0.25">
      <c r="B179" t="s">
        <v>540</v>
      </c>
      <c r="C179" t="s">
        <v>540</v>
      </c>
      <c r="D179" s="18">
        <v>1</v>
      </c>
    </row>
    <row r="180" spans="2:4" x14ac:dyDescent="0.25">
      <c r="B180" t="s">
        <v>541</v>
      </c>
      <c r="C180" t="s">
        <v>541</v>
      </c>
      <c r="D180" s="18">
        <v>1</v>
      </c>
    </row>
    <row r="181" spans="2:4" x14ac:dyDescent="0.25">
      <c r="B181" t="s">
        <v>542</v>
      </c>
      <c r="C181" t="s">
        <v>542</v>
      </c>
      <c r="D181" s="18">
        <v>1</v>
      </c>
    </row>
    <row r="182" spans="2:4" x14ac:dyDescent="0.25">
      <c r="B182" t="s">
        <v>543</v>
      </c>
      <c r="C182" t="s">
        <v>543</v>
      </c>
      <c r="D182" s="18">
        <v>1</v>
      </c>
    </row>
    <row r="183" spans="2:4" x14ac:dyDescent="0.25">
      <c r="B183" t="s">
        <v>544</v>
      </c>
      <c r="C183" t="s">
        <v>544</v>
      </c>
      <c r="D183" s="18">
        <v>1</v>
      </c>
    </row>
    <row r="184" spans="2:4" x14ac:dyDescent="0.25">
      <c r="B184" t="s">
        <v>545</v>
      </c>
      <c r="C184" t="s">
        <v>545</v>
      </c>
      <c r="D184" s="18">
        <v>1</v>
      </c>
    </row>
    <row r="185" spans="2:4" x14ac:dyDescent="0.25">
      <c r="B185" t="s">
        <v>546</v>
      </c>
      <c r="C185" t="s">
        <v>546</v>
      </c>
      <c r="D185" s="18">
        <v>1</v>
      </c>
    </row>
    <row r="186" spans="2:4" x14ac:dyDescent="0.25">
      <c r="B186" s="2" t="s">
        <v>577</v>
      </c>
      <c r="C186" s="2" t="s">
        <v>566</v>
      </c>
      <c r="D186" s="18">
        <f>IF(VLOOKUP(Analisi_Voci!B1,Var_voce!B1:AO23,39,FALSE)="S",1.1*5,1.1*8)</f>
        <v>8.8000000000000007</v>
      </c>
    </row>
    <row r="187" spans="2:4" x14ac:dyDescent="0.25">
      <c r="B187" s="2"/>
      <c r="C187" s="2"/>
    </row>
  </sheetData>
  <phoneticPr fontId="4" type="noConversion"/>
  <pageMargins left="0.7" right="0.7" top="0.75" bottom="0.75" header="0.3" footer="0.3"/>
  <tableParts count="2">
    <tablePart r:id="rId1"/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422F4-5367-4F84-AFEC-A497EA21A26E}">
  <sheetPr codeName="Foglio15"/>
  <dimension ref="B1:G186"/>
  <sheetViews>
    <sheetView topLeftCell="A86" workbookViewId="0">
      <selection activeCell="A12" sqref="A12:G17"/>
    </sheetView>
  </sheetViews>
  <sheetFormatPr defaultRowHeight="12.5" x14ac:dyDescent="0.25"/>
  <cols>
    <col min="1" max="1" width="1.81640625" customWidth="1"/>
    <col min="2" max="2" width="45.453125" style="8" customWidth="1"/>
    <col min="3" max="3" width="12.90625" style="94" customWidth="1"/>
    <col min="5" max="5" width="10.453125" customWidth="1"/>
  </cols>
  <sheetData>
    <row r="1" spans="2:4" ht="6.5" customHeight="1" x14ac:dyDescent="0.25"/>
    <row r="2" spans="2:4" ht="13" x14ac:dyDescent="0.3">
      <c r="B2" s="36" t="s">
        <v>41</v>
      </c>
      <c r="C2" s="95" t="s">
        <v>39</v>
      </c>
      <c r="D2" s="15" t="s">
        <v>40</v>
      </c>
    </row>
    <row r="3" spans="2:4" ht="14" x14ac:dyDescent="0.25">
      <c r="B3" s="42" t="s">
        <v>5</v>
      </c>
      <c r="C3" s="96" t="s">
        <v>152</v>
      </c>
      <c r="D3" s="41">
        <v>29.25</v>
      </c>
    </row>
    <row r="4" spans="2:4" ht="14" customHeight="1" x14ac:dyDescent="0.25">
      <c r="B4" s="42" t="s">
        <v>37</v>
      </c>
      <c r="C4" s="96" t="s">
        <v>152</v>
      </c>
      <c r="D4" s="41">
        <v>31.54</v>
      </c>
    </row>
    <row r="5" spans="2:4" ht="13" x14ac:dyDescent="0.3">
      <c r="B5" s="93" t="s">
        <v>7</v>
      </c>
      <c r="C5" s="97" t="s">
        <v>453</v>
      </c>
      <c r="D5" s="40">
        <v>1.81</v>
      </c>
    </row>
    <row r="6" spans="2:4" ht="13" x14ac:dyDescent="0.3">
      <c r="B6" s="93" t="s">
        <v>9</v>
      </c>
      <c r="C6" s="97" t="s">
        <v>453</v>
      </c>
      <c r="D6" s="40">
        <v>1.6</v>
      </c>
    </row>
    <row r="7" spans="2:4" ht="13" x14ac:dyDescent="0.3">
      <c r="B7" s="93" t="s">
        <v>347</v>
      </c>
      <c r="C7" s="97" t="s">
        <v>454</v>
      </c>
      <c r="D7" s="40">
        <v>0.64</v>
      </c>
    </row>
    <row r="8" spans="2:4" ht="13" x14ac:dyDescent="0.3">
      <c r="B8" s="93" t="s">
        <v>348</v>
      </c>
      <c r="C8" s="97" t="s">
        <v>454</v>
      </c>
      <c r="D8" s="40">
        <v>0.73799999999999999</v>
      </c>
    </row>
    <row r="9" spans="2:4" ht="13" x14ac:dyDescent="0.3">
      <c r="B9" s="93" t="s">
        <v>349</v>
      </c>
      <c r="C9" s="97" t="s">
        <v>454</v>
      </c>
      <c r="D9" s="40">
        <v>0.77600000000000002</v>
      </c>
    </row>
    <row r="10" spans="2:4" ht="13" x14ac:dyDescent="0.3">
      <c r="B10" s="93" t="s">
        <v>350</v>
      </c>
      <c r="C10" s="97" t="s">
        <v>454</v>
      </c>
      <c r="D10" s="40">
        <v>0.86</v>
      </c>
    </row>
    <row r="11" spans="2:4" ht="13" x14ac:dyDescent="0.3">
      <c r="B11" s="93" t="s">
        <v>351</v>
      </c>
      <c r="C11" s="97" t="s">
        <v>454</v>
      </c>
      <c r="D11" s="40">
        <v>0.94599999999999995</v>
      </c>
    </row>
    <row r="12" spans="2:4" ht="13" x14ac:dyDescent="0.3">
      <c r="B12" s="93" t="s">
        <v>352</v>
      </c>
      <c r="C12" s="97" t="s">
        <v>454</v>
      </c>
      <c r="D12" s="40">
        <v>1.1419999999999999</v>
      </c>
    </row>
    <row r="13" spans="2:4" ht="13" x14ac:dyDescent="0.3">
      <c r="B13" s="93" t="s">
        <v>353</v>
      </c>
      <c r="C13" s="97" t="s">
        <v>454</v>
      </c>
      <c r="D13" s="40">
        <v>1.3959999999999999</v>
      </c>
    </row>
    <row r="14" spans="2:4" ht="13" x14ac:dyDescent="0.3">
      <c r="B14" s="93" t="s">
        <v>354</v>
      </c>
      <c r="C14" s="97" t="s">
        <v>454</v>
      </c>
      <c r="D14" s="40">
        <v>1.69</v>
      </c>
    </row>
    <row r="15" spans="2:4" ht="13" x14ac:dyDescent="0.3">
      <c r="B15" s="93" t="s">
        <v>355</v>
      </c>
      <c r="C15" s="97" t="s">
        <v>454</v>
      </c>
      <c r="D15" s="40">
        <v>2.044</v>
      </c>
    </row>
    <row r="16" spans="2:4" ht="13" x14ac:dyDescent="0.3">
      <c r="B16" s="93" t="s">
        <v>356</v>
      </c>
      <c r="C16" s="97" t="s">
        <v>454</v>
      </c>
      <c r="D16" s="40">
        <v>2.36</v>
      </c>
    </row>
    <row r="17" spans="2:4" ht="13" x14ac:dyDescent="0.3">
      <c r="B17" s="93" t="s">
        <v>357</v>
      </c>
      <c r="C17" s="97" t="s">
        <v>454</v>
      </c>
      <c r="D17" s="40">
        <v>2.6440000000000001</v>
      </c>
    </row>
    <row r="18" spans="2:4" ht="13" x14ac:dyDescent="0.3">
      <c r="B18" s="98" t="s">
        <v>345</v>
      </c>
      <c r="C18" s="97" t="s">
        <v>454</v>
      </c>
      <c r="D18" s="40">
        <v>0.50800000000000001</v>
      </c>
    </row>
    <row r="19" spans="2:4" ht="13" x14ac:dyDescent="0.3">
      <c r="B19" s="98" t="s">
        <v>358</v>
      </c>
      <c r="C19" s="97" t="s">
        <v>454</v>
      </c>
      <c r="D19" s="40">
        <v>0.53</v>
      </c>
    </row>
    <row r="20" spans="2:4" ht="13" x14ac:dyDescent="0.3">
      <c r="B20" s="98" t="s">
        <v>359</v>
      </c>
      <c r="C20" s="97" t="s">
        <v>454</v>
      </c>
      <c r="D20" s="40">
        <v>0.58199999999999996</v>
      </c>
    </row>
    <row r="21" spans="2:4" ht="13" x14ac:dyDescent="0.3">
      <c r="B21" s="98" t="s">
        <v>360</v>
      </c>
      <c r="C21" s="97" t="s">
        <v>454</v>
      </c>
      <c r="D21" s="40">
        <v>0.63200000000000001</v>
      </c>
    </row>
    <row r="22" spans="2:4" ht="13" x14ac:dyDescent="0.3">
      <c r="B22" s="98" t="s">
        <v>361</v>
      </c>
      <c r="C22" s="97" t="s">
        <v>454</v>
      </c>
      <c r="D22" s="40">
        <v>0.67600000000000005</v>
      </c>
    </row>
    <row r="23" spans="2:4" ht="13" x14ac:dyDescent="0.3">
      <c r="B23" s="98" t="s">
        <v>362</v>
      </c>
      <c r="C23" s="97" t="s">
        <v>454</v>
      </c>
      <c r="D23" s="40">
        <v>0.77</v>
      </c>
    </row>
    <row r="24" spans="2:4" ht="13" x14ac:dyDescent="0.3">
      <c r="B24" s="98" t="s">
        <v>363</v>
      </c>
      <c r="C24" s="97" t="s">
        <v>454</v>
      </c>
      <c r="D24" s="40">
        <v>0.874</v>
      </c>
    </row>
    <row r="25" spans="2:4" ht="13" x14ac:dyDescent="0.3">
      <c r="B25" s="98" t="s">
        <v>364</v>
      </c>
      <c r="C25" s="97" t="s">
        <v>454</v>
      </c>
      <c r="D25" s="40">
        <v>1.956</v>
      </c>
    </row>
    <row r="26" spans="2:4" ht="13" x14ac:dyDescent="0.3">
      <c r="B26" s="98" t="s">
        <v>365</v>
      </c>
      <c r="C26" s="97" t="s">
        <v>454</v>
      </c>
      <c r="D26" s="40">
        <v>2.1019999999999999</v>
      </c>
    </row>
    <row r="27" spans="2:4" ht="13" x14ac:dyDescent="0.3">
      <c r="B27" s="98" t="s">
        <v>366</v>
      </c>
      <c r="C27" s="97" t="s">
        <v>454</v>
      </c>
      <c r="D27" s="40">
        <v>2.4340000000000002</v>
      </c>
    </row>
    <row r="28" spans="2:4" ht="13" x14ac:dyDescent="0.3">
      <c r="B28" s="98" t="s">
        <v>367</v>
      </c>
      <c r="C28" s="97" t="s">
        <v>454</v>
      </c>
      <c r="D28" s="40">
        <v>2.6440000000000001</v>
      </c>
    </row>
    <row r="29" spans="2:4" x14ac:dyDescent="0.25">
      <c r="B29" s="92" t="s">
        <v>368</v>
      </c>
      <c r="C29" s="97" t="s">
        <v>454</v>
      </c>
      <c r="D29" s="40">
        <v>0.254</v>
      </c>
    </row>
    <row r="30" spans="2:4" x14ac:dyDescent="0.25">
      <c r="B30" s="92" t="s">
        <v>369</v>
      </c>
      <c r="C30" s="97" t="s">
        <v>454</v>
      </c>
      <c r="D30" s="40">
        <v>0.36399999999999999</v>
      </c>
    </row>
    <row r="31" spans="2:4" x14ac:dyDescent="0.25">
      <c r="B31" s="92" t="s">
        <v>370</v>
      </c>
      <c r="C31" s="97" t="s">
        <v>454</v>
      </c>
      <c r="D31" s="40">
        <v>0.38</v>
      </c>
    </row>
    <row r="32" spans="2:4" x14ac:dyDescent="0.25">
      <c r="B32" s="92" t="s">
        <v>371</v>
      </c>
      <c r="C32" s="97" t="s">
        <v>454</v>
      </c>
      <c r="D32" s="40">
        <v>0.41199999999999998</v>
      </c>
    </row>
    <row r="33" spans="2:4" x14ac:dyDescent="0.25">
      <c r="B33" s="92" t="s">
        <v>372</v>
      </c>
      <c r="C33" s="97" t="s">
        <v>454</v>
      </c>
      <c r="D33" s="40">
        <v>0.46</v>
      </c>
    </row>
    <row r="34" spans="2:4" x14ac:dyDescent="0.25">
      <c r="B34" s="92" t="s">
        <v>373</v>
      </c>
      <c r="C34" s="97" t="s">
        <v>454</v>
      </c>
      <c r="D34" s="40">
        <v>0.49</v>
      </c>
    </row>
    <row r="35" spans="2:4" x14ac:dyDescent="0.25">
      <c r="B35" s="92" t="s">
        <v>374</v>
      </c>
      <c r="C35" s="97" t="s">
        <v>454</v>
      </c>
      <c r="D35" s="40">
        <v>0.54</v>
      </c>
    </row>
    <row r="36" spans="2:4" x14ac:dyDescent="0.25">
      <c r="B36" s="92" t="s">
        <v>375</v>
      </c>
      <c r="C36" s="97" t="s">
        <v>454</v>
      </c>
      <c r="D36" s="40">
        <v>0.60799999999999998</v>
      </c>
    </row>
    <row r="37" spans="2:4" x14ac:dyDescent="0.25">
      <c r="B37" s="14" t="s">
        <v>561</v>
      </c>
      <c r="C37" s="97" t="s">
        <v>454</v>
      </c>
      <c r="D37" s="40">
        <v>1.64</v>
      </c>
    </row>
    <row r="38" spans="2:4" x14ac:dyDescent="0.25">
      <c r="B38" s="100" t="s">
        <v>584</v>
      </c>
      <c r="C38" s="97" t="s">
        <v>454</v>
      </c>
      <c r="D38" s="40">
        <v>0.40600000000000003</v>
      </c>
    </row>
    <row r="39" spans="2:4" x14ac:dyDescent="0.25">
      <c r="B39" s="100" t="s">
        <v>585</v>
      </c>
      <c r="C39" s="97" t="s">
        <v>454</v>
      </c>
      <c r="D39" s="40">
        <v>0.44</v>
      </c>
    </row>
    <row r="40" spans="2:4" x14ac:dyDescent="0.25">
      <c r="B40" s="100" t="s">
        <v>586</v>
      </c>
      <c r="C40" s="97" t="s">
        <v>454</v>
      </c>
      <c r="D40" s="40">
        <v>0.49199999999999999</v>
      </c>
    </row>
    <row r="41" spans="2:4" x14ac:dyDescent="0.25">
      <c r="B41" s="100" t="s">
        <v>587</v>
      </c>
      <c r="C41" s="97" t="s">
        <v>454</v>
      </c>
      <c r="D41" s="40">
        <v>0.56200000000000006</v>
      </c>
    </row>
    <row r="42" spans="2:4" x14ac:dyDescent="0.25">
      <c r="B42" s="100" t="s">
        <v>588</v>
      </c>
      <c r="C42" s="97" t="s">
        <v>454</v>
      </c>
      <c r="D42" s="40">
        <v>0.61599999999999999</v>
      </c>
    </row>
    <row r="43" spans="2:4" x14ac:dyDescent="0.25">
      <c r="B43" s="100" t="s">
        <v>589</v>
      </c>
      <c r="C43" s="97" t="s">
        <v>454</v>
      </c>
      <c r="D43" s="40">
        <v>0.752</v>
      </c>
    </row>
    <row r="44" spans="2:4" x14ac:dyDescent="0.25">
      <c r="B44" s="100" t="s">
        <v>590</v>
      </c>
      <c r="C44" s="97" t="s">
        <v>454</v>
      </c>
      <c r="D44" s="40">
        <v>0.81599999999999995</v>
      </c>
    </row>
    <row r="45" spans="2:4" x14ac:dyDescent="0.25">
      <c r="B45" s="100" t="s">
        <v>591</v>
      </c>
      <c r="C45" s="97" t="s">
        <v>454</v>
      </c>
      <c r="D45" s="40">
        <v>0.98799999999999999</v>
      </c>
    </row>
    <row r="46" spans="2:4" x14ac:dyDescent="0.25">
      <c r="B46" s="100" t="s">
        <v>592</v>
      </c>
      <c r="C46" s="97" t="s">
        <v>454</v>
      </c>
      <c r="D46" s="40">
        <v>1.538</v>
      </c>
    </row>
    <row r="47" spans="2:4" x14ac:dyDescent="0.25">
      <c r="B47" s="100" t="s">
        <v>593</v>
      </c>
      <c r="C47" s="97" t="s">
        <v>454</v>
      </c>
      <c r="D47" s="40">
        <v>1.716</v>
      </c>
    </row>
    <row r="48" spans="2:4" x14ac:dyDescent="0.25">
      <c r="B48" s="100" t="s">
        <v>594</v>
      </c>
      <c r="C48" s="97" t="s">
        <v>454</v>
      </c>
      <c r="D48" s="40">
        <v>1.91</v>
      </c>
    </row>
    <row r="49" spans="2:7" x14ac:dyDescent="0.25">
      <c r="B49" s="92" t="s">
        <v>376</v>
      </c>
      <c r="C49" s="97" t="s">
        <v>454</v>
      </c>
      <c r="D49" s="40">
        <v>0.36399999999999999</v>
      </c>
    </row>
    <row r="50" spans="2:7" x14ac:dyDescent="0.25">
      <c r="B50" s="92" t="s">
        <v>377</v>
      </c>
      <c r="C50" s="97" t="s">
        <v>454</v>
      </c>
      <c r="D50" s="40">
        <v>0.38</v>
      </c>
    </row>
    <row r="51" spans="2:7" x14ac:dyDescent="0.25">
      <c r="B51" s="92" t="s">
        <v>378</v>
      </c>
      <c r="C51" s="97" t="s">
        <v>454</v>
      </c>
      <c r="D51" s="40">
        <v>0.41199999999999998</v>
      </c>
    </row>
    <row r="52" spans="2:7" x14ac:dyDescent="0.25">
      <c r="B52" s="92" t="s">
        <v>379</v>
      </c>
      <c r="C52" s="97" t="s">
        <v>454</v>
      </c>
      <c r="D52" s="40">
        <v>0.46</v>
      </c>
    </row>
    <row r="53" spans="2:7" x14ac:dyDescent="0.25">
      <c r="B53" s="92" t="s">
        <v>380</v>
      </c>
      <c r="C53" s="97" t="s">
        <v>454</v>
      </c>
      <c r="D53" s="40">
        <v>0.49</v>
      </c>
    </row>
    <row r="54" spans="2:7" x14ac:dyDescent="0.25">
      <c r="B54" s="92" t="s">
        <v>381</v>
      </c>
      <c r="C54" s="97" t="s">
        <v>454</v>
      </c>
      <c r="D54" s="40">
        <v>0.54</v>
      </c>
    </row>
    <row r="55" spans="2:7" x14ac:dyDescent="0.25">
      <c r="B55" s="92" t="s">
        <v>382</v>
      </c>
      <c r="C55" s="97" t="s">
        <v>454</v>
      </c>
      <c r="D55" s="40">
        <v>0.60799999999999998</v>
      </c>
    </row>
    <row r="56" spans="2:7" ht="13" x14ac:dyDescent="0.3">
      <c r="B56" s="92" t="s">
        <v>383</v>
      </c>
      <c r="C56" s="97" t="s">
        <v>454</v>
      </c>
      <c r="D56" s="40">
        <v>0.69599999999999995</v>
      </c>
      <c r="E56" s="1">
        <v>1</v>
      </c>
      <c r="F56" s="1">
        <v>2</v>
      </c>
      <c r="G56" s="1">
        <v>3</v>
      </c>
    </row>
    <row r="57" spans="2:7" x14ac:dyDescent="0.25">
      <c r="B57" s="100" t="s">
        <v>227</v>
      </c>
      <c r="C57" s="97" t="s">
        <v>453</v>
      </c>
      <c r="D57" s="40">
        <f>IF(VLOOKUP(Analisi_Voci!$G$2,RG,2,FALSE)=1,E57,F57)</f>
        <v>2.9940000000000002</v>
      </c>
      <c r="E57" s="40">
        <v>2.9940000000000002</v>
      </c>
      <c r="F57" s="40">
        <v>3.294</v>
      </c>
      <c r="G57" s="40"/>
    </row>
    <row r="58" spans="2:7" x14ac:dyDescent="0.25">
      <c r="B58" s="100" t="s">
        <v>228</v>
      </c>
      <c r="C58" s="97" t="s">
        <v>453</v>
      </c>
      <c r="D58" s="40">
        <f>IF(VLOOKUP(Analisi_Voci!$G$2,RG,2,FALSE)=1,E58,F58)</f>
        <v>3.99</v>
      </c>
      <c r="E58" s="40">
        <v>3.99</v>
      </c>
      <c r="F58" s="40">
        <v>4.7880000000000003</v>
      </c>
      <c r="G58" s="40"/>
    </row>
    <row r="59" spans="2:7" x14ac:dyDescent="0.25">
      <c r="B59" s="100" t="s">
        <v>229</v>
      </c>
      <c r="C59" s="97" t="s">
        <v>453</v>
      </c>
      <c r="D59" s="40">
        <f>IF(VLOOKUP(Analisi_Voci!$G$2,RG,2,FALSE)=1,E59,F59)</f>
        <v>4.9880000000000004</v>
      </c>
      <c r="E59" s="40">
        <v>4.9880000000000004</v>
      </c>
      <c r="F59" s="40">
        <v>5.4880000000000004</v>
      </c>
      <c r="G59" s="40"/>
    </row>
    <row r="60" spans="2:7" x14ac:dyDescent="0.25">
      <c r="B60" s="100" t="s">
        <v>230</v>
      </c>
      <c r="C60" s="97" t="s">
        <v>453</v>
      </c>
      <c r="D60" s="40">
        <f>IF(VLOOKUP(Analisi_Voci!$G$2,RG,2,FALSE)=1,E60,F60)</f>
        <v>5.9859999999999998</v>
      </c>
      <c r="E60" s="40">
        <v>5.9859999999999998</v>
      </c>
      <c r="F60" s="40">
        <v>6.5839999999999996</v>
      </c>
      <c r="G60" s="40"/>
    </row>
    <row r="61" spans="2:7" x14ac:dyDescent="0.25">
      <c r="B61" s="100" t="s">
        <v>231</v>
      </c>
      <c r="C61" s="97" t="s">
        <v>453</v>
      </c>
      <c r="D61" s="40">
        <f>IF(VLOOKUP(Analisi_Voci!$G$2,RG,2,FALSE)=1,E61,F61)</f>
        <v>7.98</v>
      </c>
      <c r="E61" s="40">
        <v>7.98</v>
      </c>
      <c r="F61" s="40">
        <v>8.7780000000000005</v>
      </c>
      <c r="G61" s="40"/>
    </row>
    <row r="62" spans="2:7" x14ac:dyDescent="0.25">
      <c r="B62" s="91" t="s">
        <v>232</v>
      </c>
      <c r="C62" s="97" t="s">
        <v>453</v>
      </c>
      <c r="D62" s="40">
        <f>IF(VLOOKUP(Analisi_Voci!$G$2,RG,2,FALSE)=1,E62,F62)</f>
        <v>9.9760000000000009</v>
      </c>
      <c r="E62" s="40">
        <v>9.9760000000000009</v>
      </c>
      <c r="F62" s="40">
        <v>11.97</v>
      </c>
      <c r="G62" s="40"/>
    </row>
    <row r="63" spans="2:7" x14ac:dyDescent="0.25">
      <c r="B63" s="91" t="s">
        <v>233</v>
      </c>
      <c r="C63" s="97" t="s">
        <v>453</v>
      </c>
      <c r="D63" s="40">
        <f>IF(VLOOKUP(Analisi_Voci!$G$2,RG,2,FALSE)=1,E63,F63)</f>
        <v>11.97</v>
      </c>
      <c r="E63" s="40">
        <v>11.97</v>
      </c>
      <c r="F63" s="40">
        <v>13.167999999999999</v>
      </c>
      <c r="G63" s="40"/>
    </row>
    <row r="64" spans="2:7" x14ac:dyDescent="0.25">
      <c r="B64" s="91" t="s">
        <v>234</v>
      </c>
      <c r="C64" s="97" t="s">
        <v>453</v>
      </c>
      <c r="D64" s="40">
        <f>IF(VLOOKUP(Analisi_Voci!$G$2,RG,2,FALSE)=1,E64,F64)</f>
        <v>13.965999999999999</v>
      </c>
      <c r="E64" s="40">
        <v>13.965999999999999</v>
      </c>
      <c r="F64" s="40">
        <v>15.364000000000001</v>
      </c>
      <c r="G64" s="40"/>
    </row>
    <row r="65" spans="2:7" x14ac:dyDescent="0.25">
      <c r="B65" s="91" t="s">
        <v>235</v>
      </c>
      <c r="C65" s="97" t="s">
        <v>453</v>
      </c>
      <c r="D65" s="40">
        <f>IF(VLOOKUP(Analisi_Voci!$G$2,RG,2,FALSE)=1,E65,F65)</f>
        <v>14.964</v>
      </c>
      <c r="E65" s="40">
        <v>14.964</v>
      </c>
      <c r="F65" s="40">
        <v>16.46</v>
      </c>
      <c r="G65" s="40"/>
    </row>
    <row r="66" spans="2:7" x14ac:dyDescent="0.25">
      <c r="B66" s="91" t="s">
        <v>236</v>
      </c>
      <c r="C66" s="97" t="s">
        <v>453</v>
      </c>
      <c r="D66" s="40">
        <f>IF(VLOOKUP(Analisi_Voci!$G$2,RG,2,FALSE)=1,E66,F66)</f>
        <v>15.96</v>
      </c>
      <c r="E66" s="40">
        <v>15.96</v>
      </c>
      <c r="F66" s="40">
        <v>17.556000000000001</v>
      </c>
      <c r="G66" s="40"/>
    </row>
    <row r="67" spans="2:7" x14ac:dyDescent="0.25">
      <c r="B67" s="91" t="s">
        <v>237</v>
      </c>
      <c r="C67" s="97" t="s">
        <v>453</v>
      </c>
      <c r="D67" s="40">
        <f>IF(VLOOKUP(Analisi_Voci!$G$2,RG,2,FALSE)=1,E67,F67)</f>
        <v>17.956</v>
      </c>
      <c r="E67" s="40">
        <v>17.956</v>
      </c>
      <c r="F67" s="40">
        <v>19.75</v>
      </c>
      <c r="G67" s="40"/>
    </row>
    <row r="68" spans="2:7" x14ac:dyDescent="0.25">
      <c r="B68" s="91" t="s">
        <v>238</v>
      </c>
      <c r="C68" s="97" t="s">
        <v>453</v>
      </c>
      <c r="D68" s="40">
        <f>IF(VLOOKUP(Analisi_Voci!$G$2,RG,2,FALSE)=1,E68,F68)</f>
        <v>19.95</v>
      </c>
      <c r="E68" s="40">
        <v>19.95</v>
      </c>
      <c r="F68" s="40">
        <v>21.946000000000002</v>
      </c>
      <c r="G68" s="40"/>
    </row>
    <row r="69" spans="2:7" x14ac:dyDescent="0.25">
      <c r="B69" s="92" t="s">
        <v>239</v>
      </c>
      <c r="C69" s="97" t="s">
        <v>453</v>
      </c>
      <c r="D69" s="40">
        <f>IF(VLOOKUP(Analisi_Voci!$G$2,RG,3,FALSE)=1,E69,IF(VLOOKUP(Analisi_Voci!$G$2,RG,3,FALSE)=2,#REF!,G69))</f>
        <v>3.5760000000000001</v>
      </c>
      <c r="E69" s="40">
        <v>3.5760000000000001</v>
      </c>
      <c r="F69" s="40">
        <v>3.38</v>
      </c>
      <c r="G69" s="40">
        <v>3.66</v>
      </c>
    </row>
    <row r="70" spans="2:7" x14ac:dyDescent="0.25">
      <c r="B70" s="92" t="s">
        <v>240</v>
      </c>
      <c r="C70" s="97" t="s">
        <v>453</v>
      </c>
      <c r="D70" s="40">
        <f>IF(VLOOKUP(Analisi_Voci!$G$2,RG,3,FALSE)=1,E70,IF(VLOOKUP(Analisi_Voci!$G$2,RG,3,FALSE)=2,F69,G70))</f>
        <v>4.75</v>
      </c>
      <c r="E70" s="40">
        <v>4.75</v>
      </c>
      <c r="F70" s="40">
        <v>4.5</v>
      </c>
      <c r="G70" s="40">
        <v>4.88</v>
      </c>
    </row>
    <row r="71" spans="2:7" x14ac:dyDescent="0.25">
      <c r="B71" s="92" t="s">
        <v>241</v>
      </c>
      <c r="C71" s="97" t="s">
        <v>453</v>
      </c>
      <c r="D71" s="40">
        <f>IF(VLOOKUP(Analisi_Voci!$G$2,RG,3,FALSE)=1,E71,IF(VLOOKUP(Analisi_Voci!$G$2,RG,3,FALSE)=2,F70,G71))</f>
        <v>5.95</v>
      </c>
      <c r="E71" s="40">
        <v>5.95</v>
      </c>
      <c r="F71" s="40">
        <v>5.62</v>
      </c>
      <c r="G71" s="40">
        <v>6.1</v>
      </c>
    </row>
    <row r="72" spans="2:7" x14ac:dyDescent="0.25">
      <c r="B72" s="92" t="s">
        <v>242</v>
      </c>
      <c r="C72" s="97" t="s">
        <v>453</v>
      </c>
      <c r="D72" s="40">
        <f>IF(VLOOKUP(Analisi_Voci!$G$2,RG,3,FALSE)=1,E72,IF(VLOOKUP(Analisi_Voci!$G$2,RG,3,FALSE)=2,F71,G72))</f>
        <v>7.1260000000000003</v>
      </c>
      <c r="E72" s="40">
        <v>7.1260000000000003</v>
      </c>
      <c r="F72" s="40">
        <v>6.76</v>
      </c>
      <c r="G72" s="40">
        <v>7.32</v>
      </c>
    </row>
    <row r="73" spans="2:7" x14ac:dyDescent="0.25">
      <c r="B73" s="92" t="s">
        <v>243</v>
      </c>
      <c r="C73" s="97" t="s">
        <v>453</v>
      </c>
      <c r="D73" s="40">
        <f>IF(VLOOKUP(Analisi_Voci!$G$2,RG,3,FALSE)=1,E73,IF(VLOOKUP(Analisi_Voci!$G$2,RG,3,FALSE)=2,F72,G73))</f>
        <v>9.5</v>
      </c>
      <c r="E73" s="40">
        <v>9.5</v>
      </c>
      <c r="F73" s="101">
        <v>9</v>
      </c>
      <c r="G73" s="40">
        <v>9.76</v>
      </c>
    </row>
    <row r="74" spans="2:7" x14ac:dyDescent="0.25">
      <c r="B74" s="92" t="s">
        <v>244</v>
      </c>
      <c r="C74" s="97" t="s">
        <v>453</v>
      </c>
      <c r="D74" s="40">
        <f>IF(VLOOKUP(Analisi_Voci!$G$2,RG,3,FALSE)=1,E74,IF(VLOOKUP(Analisi_Voci!$G$2,RG,3,FALSE)=2,F74,G74))</f>
        <v>11.875999999999999</v>
      </c>
      <c r="E74" s="40">
        <v>11.875999999999999</v>
      </c>
      <c r="F74" s="40">
        <v>11.26</v>
      </c>
      <c r="G74" s="40">
        <v>12.2</v>
      </c>
    </row>
    <row r="75" spans="2:7" x14ac:dyDescent="0.25">
      <c r="B75" s="92" t="s">
        <v>245</v>
      </c>
      <c r="C75" s="97" t="s">
        <v>453</v>
      </c>
      <c r="D75" s="40">
        <f>IF(VLOOKUP(Analisi_Voci!$G$2,RG,3,FALSE)=1,E75,IF(VLOOKUP(Analisi_Voci!$G$2,RG,3,FALSE)=2,F75,G75))</f>
        <v>14.25</v>
      </c>
      <c r="E75" s="40">
        <v>14.25</v>
      </c>
      <c r="F75" s="40">
        <v>13.5</v>
      </c>
      <c r="G75" s="40">
        <v>14.62</v>
      </c>
    </row>
    <row r="76" spans="2:7" x14ac:dyDescent="0.25">
      <c r="B76" s="92" t="s">
        <v>246</v>
      </c>
      <c r="C76" s="97" t="s">
        <v>453</v>
      </c>
      <c r="D76" s="40">
        <f>IF(VLOOKUP(Analisi_Voci!$G$2,RG,3,FALSE)=1,E76,IF(VLOOKUP(Analisi_Voci!$G$2,RG,3,FALSE)=2,F76,G76))</f>
        <v>16.626000000000001</v>
      </c>
      <c r="E76" s="40">
        <v>16.626000000000001</v>
      </c>
      <c r="F76" s="40">
        <v>15.76</v>
      </c>
      <c r="G76" s="40">
        <v>17.059999999999999</v>
      </c>
    </row>
    <row r="77" spans="2:7" x14ac:dyDescent="0.25">
      <c r="B77" s="92" t="s">
        <v>247</v>
      </c>
      <c r="C77" s="97" t="s">
        <v>453</v>
      </c>
      <c r="D77" s="40">
        <v>13.375999999999999</v>
      </c>
      <c r="E77" s="40"/>
      <c r="F77" s="40"/>
      <c r="G77" s="40"/>
    </row>
    <row r="78" spans="2:7" x14ac:dyDescent="0.25">
      <c r="B78" s="92" t="s">
        <v>248</v>
      </c>
      <c r="C78" s="97" t="s">
        <v>453</v>
      </c>
      <c r="D78" s="40">
        <v>16.05</v>
      </c>
      <c r="E78" s="40"/>
      <c r="F78" s="40"/>
      <c r="G78" s="40"/>
    </row>
    <row r="79" spans="2:7" x14ac:dyDescent="0.25">
      <c r="B79" s="92" t="s">
        <v>249</v>
      </c>
      <c r="C79" s="97" t="s">
        <v>453</v>
      </c>
      <c r="D79" s="40">
        <v>18.725999999999999</v>
      </c>
      <c r="E79" s="40"/>
      <c r="F79" s="40"/>
      <c r="G79" s="40"/>
    </row>
    <row r="80" spans="2:7" x14ac:dyDescent="0.25">
      <c r="B80" s="92" t="s">
        <v>251</v>
      </c>
      <c r="C80" s="97" t="s">
        <v>453</v>
      </c>
      <c r="D80" s="40">
        <v>21.4</v>
      </c>
      <c r="E80" s="40"/>
      <c r="F80" s="40"/>
      <c r="G80" s="40"/>
    </row>
    <row r="81" spans="2:4" x14ac:dyDescent="0.25">
      <c r="B81" s="92" t="s">
        <v>252</v>
      </c>
      <c r="C81" s="97" t="s">
        <v>453</v>
      </c>
      <c r="D81" s="40">
        <v>24.076000000000001</v>
      </c>
    </row>
    <row r="82" spans="2:4" x14ac:dyDescent="0.25">
      <c r="B82" s="92" t="s">
        <v>253</v>
      </c>
      <c r="C82" s="97" t="s">
        <v>453</v>
      </c>
      <c r="D82" s="40">
        <v>26.75</v>
      </c>
    </row>
    <row r="83" spans="2:4" x14ac:dyDescent="0.25">
      <c r="B83" s="92" t="s">
        <v>254</v>
      </c>
      <c r="C83" s="97" t="s">
        <v>453</v>
      </c>
      <c r="D83" s="40">
        <v>10</v>
      </c>
    </row>
    <row r="84" spans="2:4" x14ac:dyDescent="0.25">
      <c r="B84" s="92" t="s">
        <v>255</v>
      </c>
      <c r="C84" s="97" t="s">
        <v>453</v>
      </c>
      <c r="D84" s="40">
        <v>13.75</v>
      </c>
    </row>
    <row r="85" spans="2:4" x14ac:dyDescent="0.25">
      <c r="B85" s="92" t="s">
        <v>256</v>
      </c>
      <c r="C85" s="97" t="s">
        <v>453</v>
      </c>
      <c r="D85" s="101">
        <v>16.5</v>
      </c>
    </row>
    <row r="86" spans="2:4" x14ac:dyDescent="0.25">
      <c r="B86" s="92" t="s">
        <v>257</v>
      </c>
      <c r="C86" s="97" t="s">
        <v>453</v>
      </c>
      <c r="D86" s="101">
        <v>19.25</v>
      </c>
    </row>
    <row r="87" spans="2:4" x14ac:dyDescent="0.25">
      <c r="B87" s="92" t="s">
        <v>258</v>
      </c>
      <c r="C87" s="97" t="s">
        <v>453</v>
      </c>
      <c r="D87" s="101">
        <v>22</v>
      </c>
    </row>
    <row r="88" spans="2:4" x14ac:dyDescent="0.25">
      <c r="B88" s="92" t="s">
        <v>259</v>
      </c>
      <c r="C88" s="97" t="s">
        <v>453</v>
      </c>
      <c r="D88" s="101">
        <v>24.75</v>
      </c>
    </row>
    <row r="89" spans="2:4" x14ac:dyDescent="0.25">
      <c r="B89" s="92" t="s">
        <v>260</v>
      </c>
      <c r="C89" s="97" t="s">
        <v>453</v>
      </c>
      <c r="D89" s="101">
        <v>27.5</v>
      </c>
    </row>
    <row r="90" spans="2:4" x14ac:dyDescent="0.25">
      <c r="B90" s="92" t="s">
        <v>261</v>
      </c>
      <c r="C90" s="102" t="s">
        <v>453</v>
      </c>
      <c r="D90" s="101">
        <v>13.75</v>
      </c>
    </row>
    <row r="91" spans="2:4" x14ac:dyDescent="0.25">
      <c r="B91" s="92" t="s">
        <v>262</v>
      </c>
      <c r="C91" s="102" t="s">
        <v>453</v>
      </c>
      <c r="D91" s="101">
        <v>16.5</v>
      </c>
    </row>
    <row r="92" spans="2:4" x14ac:dyDescent="0.25">
      <c r="B92" s="92" t="s">
        <v>263</v>
      </c>
      <c r="C92" s="102" t="s">
        <v>453</v>
      </c>
      <c r="D92" s="101">
        <v>22</v>
      </c>
    </row>
    <row r="93" spans="2:4" x14ac:dyDescent="0.25">
      <c r="B93" s="92" t="s">
        <v>264</v>
      </c>
      <c r="C93" s="102" t="s">
        <v>453</v>
      </c>
      <c r="D93" s="101">
        <v>27.5</v>
      </c>
    </row>
    <row r="94" spans="2:4" x14ac:dyDescent="0.25">
      <c r="B94" s="92" t="s">
        <v>265</v>
      </c>
      <c r="C94" s="102" t="s">
        <v>453</v>
      </c>
      <c r="D94" s="101">
        <v>33</v>
      </c>
    </row>
    <row r="95" spans="2:4" x14ac:dyDescent="0.25">
      <c r="B95" s="92" t="s">
        <v>266</v>
      </c>
      <c r="C95" s="102" t="s">
        <v>453</v>
      </c>
      <c r="D95" s="101">
        <v>38.5</v>
      </c>
    </row>
    <row r="96" spans="2:4" x14ac:dyDescent="0.25">
      <c r="B96" s="92" t="s">
        <v>267</v>
      </c>
      <c r="C96" s="102" t="s">
        <v>453</v>
      </c>
      <c r="D96" s="101">
        <v>44</v>
      </c>
    </row>
    <row r="97" spans="2:4" x14ac:dyDescent="0.25">
      <c r="B97" s="92" t="s">
        <v>268</v>
      </c>
      <c r="C97" s="102" t="s">
        <v>453</v>
      </c>
      <c r="D97" s="101">
        <v>49.5</v>
      </c>
    </row>
    <row r="98" spans="2:4" x14ac:dyDescent="0.25">
      <c r="B98" s="92" t="s">
        <v>269</v>
      </c>
      <c r="C98" s="102" t="s">
        <v>453</v>
      </c>
      <c r="D98" s="101">
        <v>55</v>
      </c>
    </row>
    <row r="99" spans="2:4" x14ac:dyDescent="0.25">
      <c r="B99" s="91" t="s">
        <v>270</v>
      </c>
      <c r="C99" s="102" t="s">
        <v>453</v>
      </c>
      <c r="D99" s="101">
        <v>13.125999999999999</v>
      </c>
    </row>
    <row r="100" spans="2:4" x14ac:dyDescent="0.25">
      <c r="B100" s="91" t="s">
        <v>271</v>
      </c>
      <c r="C100" s="102" t="s">
        <v>453</v>
      </c>
      <c r="D100" s="101">
        <v>15.75</v>
      </c>
    </row>
    <row r="101" spans="2:4" x14ac:dyDescent="0.25">
      <c r="B101" s="91" t="s">
        <v>272</v>
      </c>
      <c r="C101" s="102" t="s">
        <v>453</v>
      </c>
      <c r="D101" s="101">
        <v>21</v>
      </c>
    </row>
    <row r="102" spans="2:4" x14ac:dyDescent="0.25">
      <c r="B102" s="91" t="s">
        <v>273</v>
      </c>
      <c r="C102" s="102" t="s">
        <v>453</v>
      </c>
      <c r="D102" s="101">
        <v>26.25</v>
      </c>
    </row>
    <row r="103" spans="2:4" x14ac:dyDescent="0.25">
      <c r="B103" s="91" t="s">
        <v>274</v>
      </c>
      <c r="C103" s="102" t="s">
        <v>453</v>
      </c>
      <c r="D103" s="101">
        <v>31.5</v>
      </c>
    </row>
    <row r="104" spans="2:4" x14ac:dyDescent="0.25">
      <c r="B104" s="91" t="s">
        <v>275</v>
      </c>
      <c r="C104" s="102" t="s">
        <v>453</v>
      </c>
      <c r="D104" s="101">
        <v>36.75</v>
      </c>
    </row>
    <row r="105" spans="2:4" x14ac:dyDescent="0.25">
      <c r="B105" s="91" t="s">
        <v>276</v>
      </c>
      <c r="C105" s="102" t="s">
        <v>453</v>
      </c>
      <c r="D105" s="101">
        <v>42</v>
      </c>
    </row>
    <row r="106" spans="2:4" x14ac:dyDescent="0.25">
      <c r="B106" s="91" t="s">
        <v>277</v>
      </c>
      <c r="C106" s="102" t="s">
        <v>453</v>
      </c>
      <c r="D106" s="101">
        <v>47.25</v>
      </c>
    </row>
    <row r="107" spans="2:4" x14ac:dyDescent="0.25">
      <c r="B107" s="91" t="s">
        <v>278</v>
      </c>
      <c r="C107" s="102" t="s">
        <v>453</v>
      </c>
      <c r="D107" s="101">
        <v>52.5</v>
      </c>
    </row>
    <row r="108" spans="2:4" x14ac:dyDescent="0.25">
      <c r="B108" s="100" t="s">
        <v>177</v>
      </c>
      <c r="C108" s="102" t="s">
        <v>53</v>
      </c>
      <c r="D108" s="101">
        <v>14.29</v>
      </c>
    </row>
    <row r="109" spans="2:4" x14ac:dyDescent="0.25">
      <c r="B109" s="100" t="s">
        <v>163</v>
      </c>
      <c r="C109" s="102" t="s">
        <v>53</v>
      </c>
      <c r="D109" s="104">
        <v>8.8000000000000007</v>
      </c>
    </row>
    <row r="110" spans="2:4" ht="13" thickBot="1" x14ac:dyDescent="0.3">
      <c r="B110" s="103" t="s">
        <v>178</v>
      </c>
      <c r="C110" s="102" t="s">
        <v>53</v>
      </c>
      <c r="D110" s="104">
        <v>12.99</v>
      </c>
    </row>
    <row r="111" spans="2:4" x14ac:dyDescent="0.25">
      <c r="B111" s="91" t="s">
        <v>386</v>
      </c>
      <c r="C111" s="102" t="s">
        <v>4</v>
      </c>
      <c r="D111" s="104">
        <v>5.46</v>
      </c>
    </row>
    <row r="112" spans="2:4" x14ac:dyDescent="0.25">
      <c r="B112" s="91" t="s">
        <v>387</v>
      </c>
      <c r="C112" s="102" t="s">
        <v>4</v>
      </c>
      <c r="D112" s="104">
        <v>6.07</v>
      </c>
    </row>
    <row r="113" spans="2:4" x14ac:dyDescent="0.25">
      <c r="B113" s="91" t="s">
        <v>388</v>
      </c>
      <c r="C113" s="102" t="s">
        <v>4</v>
      </c>
      <c r="D113" s="104">
        <v>6.42</v>
      </c>
    </row>
    <row r="114" spans="2:4" x14ac:dyDescent="0.25">
      <c r="B114" s="91" t="s">
        <v>389</v>
      </c>
      <c r="C114" s="102" t="s">
        <v>4</v>
      </c>
      <c r="D114" s="104">
        <v>6.87</v>
      </c>
    </row>
    <row r="115" spans="2:4" x14ac:dyDescent="0.25">
      <c r="B115" s="91" t="s">
        <v>390</v>
      </c>
      <c r="C115" s="102" t="s">
        <v>4</v>
      </c>
      <c r="D115" s="104">
        <v>5.46</v>
      </c>
    </row>
    <row r="116" spans="2:4" x14ac:dyDescent="0.25">
      <c r="B116" s="91" t="s">
        <v>391</v>
      </c>
      <c r="C116" s="102" t="s">
        <v>4</v>
      </c>
      <c r="D116" s="104">
        <v>6.07</v>
      </c>
    </row>
    <row r="117" spans="2:4" x14ac:dyDescent="0.25">
      <c r="B117" s="91" t="s">
        <v>392</v>
      </c>
      <c r="C117" s="102" t="s">
        <v>4</v>
      </c>
      <c r="D117" s="104">
        <v>6.42</v>
      </c>
    </row>
    <row r="118" spans="2:4" x14ac:dyDescent="0.25">
      <c r="B118" s="91" t="s">
        <v>393</v>
      </c>
      <c r="C118" s="102" t="s">
        <v>4</v>
      </c>
      <c r="D118" s="104">
        <v>6.87</v>
      </c>
    </row>
    <row r="119" spans="2:4" x14ac:dyDescent="0.25">
      <c r="B119" s="91" t="s">
        <v>394</v>
      </c>
      <c r="C119" s="102" t="s">
        <v>4</v>
      </c>
      <c r="D119" s="104">
        <v>5.46</v>
      </c>
    </row>
    <row r="120" spans="2:4" x14ac:dyDescent="0.25">
      <c r="B120" s="91" t="s">
        <v>395</v>
      </c>
      <c r="C120" s="102" t="s">
        <v>4</v>
      </c>
      <c r="D120" s="104">
        <v>6.07</v>
      </c>
    </row>
    <row r="121" spans="2:4" x14ac:dyDescent="0.25">
      <c r="B121" s="91" t="s">
        <v>396</v>
      </c>
      <c r="C121" s="102" t="s">
        <v>4</v>
      </c>
      <c r="D121" s="104">
        <v>6.42</v>
      </c>
    </row>
    <row r="122" spans="2:4" x14ac:dyDescent="0.25">
      <c r="B122" s="91" t="s">
        <v>397</v>
      </c>
      <c r="C122" s="102" t="s">
        <v>4</v>
      </c>
      <c r="D122" s="104">
        <v>6.87</v>
      </c>
    </row>
    <row r="123" spans="2:4" x14ac:dyDescent="0.25">
      <c r="B123" s="92" t="s">
        <v>398</v>
      </c>
      <c r="C123" s="102" t="s">
        <v>4</v>
      </c>
      <c r="D123" s="104">
        <v>5.35</v>
      </c>
    </row>
    <row r="124" spans="2:4" x14ac:dyDescent="0.25">
      <c r="B124" s="92" t="s">
        <v>399</v>
      </c>
      <c r="C124" s="102" t="s">
        <v>4</v>
      </c>
      <c r="D124" s="104">
        <v>6.74</v>
      </c>
    </row>
    <row r="125" spans="2:4" x14ac:dyDescent="0.25">
      <c r="B125" s="92" t="s">
        <v>400</v>
      </c>
      <c r="C125" s="102" t="s">
        <v>4</v>
      </c>
      <c r="D125" s="104">
        <v>7.44</v>
      </c>
    </row>
    <row r="126" spans="2:4" x14ac:dyDescent="0.25">
      <c r="B126" s="92" t="s">
        <v>401</v>
      </c>
      <c r="C126" s="102" t="s">
        <v>4</v>
      </c>
      <c r="D126" s="104">
        <v>7.86</v>
      </c>
    </row>
    <row r="127" spans="2:4" x14ac:dyDescent="0.25">
      <c r="B127" s="92" t="s">
        <v>402</v>
      </c>
      <c r="C127" s="102" t="s">
        <v>4</v>
      </c>
      <c r="D127" s="104">
        <v>7.94</v>
      </c>
    </row>
    <row r="128" spans="2:4" x14ac:dyDescent="0.25">
      <c r="B128" s="92" t="s">
        <v>403</v>
      </c>
      <c r="C128" s="102" t="s">
        <v>4</v>
      </c>
      <c r="D128" s="104">
        <v>5.35</v>
      </c>
    </row>
    <row r="129" spans="2:4" x14ac:dyDescent="0.25">
      <c r="B129" s="92" t="s">
        <v>404</v>
      </c>
      <c r="C129" s="102" t="s">
        <v>4</v>
      </c>
      <c r="D129" s="104">
        <v>6.74</v>
      </c>
    </row>
    <row r="130" spans="2:4" x14ac:dyDescent="0.25">
      <c r="B130" s="92" t="s">
        <v>405</v>
      </c>
      <c r="C130" s="102" t="s">
        <v>4</v>
      </c>
      <c r="D130" s="104">
        <v>7.44</v>
      </c>
    </row>
    <row r="131" spans="2:4" x14ac:dyDescent="0.25">
      <c r="B131" s="92" t="s">
        <v>406</v>
      </c>
      <c r="C131" s="102" t="s">
        <v>4</v>
      </c>
      <c r="D131" s="104">
        <v>7.86</v>
      </c>
    </row>
    <row r="132" spans="2:4" x14ac:dyDescent="0.25">
      <c r="B132" s="92" t="s">
        <v>407</v>
      </c>
      <c r="C132" s="102" t="s">
        <v>4</v>
      </c>
      <c r="D132" s="104">
        <v>7.94</v>
      </c>
    </row>
    <row r="133" spans="2:4" x14ac:dyDescent="0.25">
      <c r="B133" s="92" t="s">
        <v>408</v>
      </c>
      <c r="C133" s="102" t="s">
        <v>4</v>
      </c>
      <c r="D133" s="104">
        <v>5.35</v>
      </c>
    </row>
    <row r="134" spans="2:4" x14ac:dyDescent="0.25">
      <c r="B134" s="92" t="s">
        <v>409</v>
      </c>
      <c r="C134" s="102" t="s">
        <v>4</v>
      </c>
      <c r="D134" s="104">
        <v>6.74</v>
      </c>
    </row>
    <row r="135" spans="2:4" x14ac:dyDescent="0.25">
      <c r="B135" s="92" t="s">
        <v>410</v>
      </c>
      <c r="C135" s="102" t="s">
        <v>4</v>
      </c>
      <c r="D135" s="104">
        <v>7.44</v>
      </c>
    </row>
    <row r="136" spans="2:4" x14ac:dyDescent="0.25">
      <c r="B136" s="92" t="s">
        <v>411</v>
      </c>
      <c r="C136" s="102" t="s">
        <v>4</v>
      </c>
      <c r="D136" s="104">
        <v>7.86</v>
      </c>
    </row>
    <row r="137" spans="2:4" x14ac:dyDescent="0.25">
      <c r="B137" s="92" t="s">
        <v>412</v>
      </c>
      <c r="C137" s="102" t="s">
        <v>4</v>
      </c>
      <c r="D137" s="104">
        <v>7.94</v>
      </c>
    </row>
    <row r="138" spans="2:4" x14ac:dyDescent="0.25">
      <c r="B138" s="92" t="s">
        <v>413</v>
      </c>
      <c r="C138" s="102" t="s">
        <v>4</v>
      </c>
      <c r="D138" s="104">
        <v>3.34</v>
      </c>
    </row>
    <row r="139" spans="2:4" x14ac:dyDescent="0.25">
      <c r="B139" s="92" t="s">
        <v>414</v>
      </c>
      <c r="C139" s="102" t="s">
        <v>4</v>
      </c>
      <c r="D139" s="104">
        <v>4.0999999999999996</v>
      </c>
    </row>
    <row r="140" spans="2:4" x14ac:dyDescent="0.25">
      <c r="B140" s="92" t="s">
        <v>415</v>
      </c>
      <c r="C140" s="102" t="s">
        <v>4</v>
      </c>
      <c r="D140" s="104">
        <v>4.53</v>
      </c>
    </row>
    <row r="141" spans="2:4" x14ac:dyDescent="0.25">
      <c r="B141" s="92" t="s">
        <v>416</v>
      </c>
      <c r="C141" s="102" t="s">
        <v>4</v>
      </c>
      <c r="D141" s="104">
        <v>4.96</v>
      </c>
    </row>
    <row r="142" spans="2:4" x14ac:dyDescent="0.25">
      <c r="B142" s="92" t="s">
        <v>417</v>
      </c>
      <c r="C142" s="102" t="s">
        <v>4</v>
      </c>
      <c r="D142" s="104">
        <v>5.17</v>
      </c>
    </row>
    <row r="143" spans="2:4" x14ac:dyDescent="0.25">
      <c r="B143" s="92" t="s">
        <v>452</v>
      </c>
      <c r="C143" s="102" t="s">
        <v>4</v>
      </c>
      <c r="D143" s="104">
        <v>3.32</v>
      </c>
    </row>
    <row r="144" spans="2:4" x14ac:dyDescent="0.25">
      <c r="B144" s="92" t="s">
        <v>448</v>
      </c>
      <c r="C144" s="102" t="s">
        <v>4</v>
      </c>
      <c r="D144" s="104">
        <v>4.0999999999999996</v>
      </c>
    </row>
    <row r="145" spans="2:4" x14ac:dyDescent="0.25">
      <c r="B145" s="92" t="s">
        <v>449</v>
      </c>
      <c r="C145" s="102" t="s">
        <v>4</v>
      </c>
      <c r="D145" s="104">
        <v>4.53</v>
      </c>
    </row>
    <row r="146" spans="2:4" x14ac:dyDescent="0.25">
      <c r="B146" s="92" t="s">
        <v>450</v>
      </c>
      <c r="C146" s="102" t="s">
        <v>4</v>
      </c>
      <c r="D146" s="104">
        <v>4.96</v>
      </c>
    </row>
    <row r="147" spans="2:4" x14ac:dyDescent="0.25">
      <c r="B147" s="92" t="s">
        <v>451</v>
      </c>
      <c r="C147" s="102" t="s">
        <v>4</v>
      </c>
      <c r="D147" s="104">
        <v>5.17</v>
      </c>
    </row>
    <row r="148" spans="2:4" x14ac:dyDescent="0.25">
      <c r="B148" s="92" t="s">
        <v>426</v>
      </c>
      <c r="C148" s="102" t="s">
        <v>4</v>
      </c>
      <c r="D148" s="104">
        <v>2.59</v>
      </c>
    </row>
    <row r="149" spans="2:4" x14ac:dyDescent="0.25">
      <c r="B149" s="92" t="s">
        <v>427</v>
      </c>
      <c r="C149" s="102" t="s">
        <v>4</v>
      </c>
      <c r="D149" s="104">
        <v>3.38</v>
      </c>
    </row>
    <row r="150" spans="2:4" x14ac:dyDescent="0.25">
      <c r="B150" s="92" t="s">
        <v>428</v>
      </c>
      <c r="C150" s="102" t="s">
        <v>4</v>
      </c>
      <c r="D150" s="104">
        <v>3.94</v>
      </c>
    </row>
    <row r="151" spans="2:4" x14ac:dyDescent="0.25">
      <c r="B151" s="92" t="s">
        <v>429</v>
      </c>
      <c r="C151" s="102" t="s">
        <v>4</v>
      </c>
      <c r="D151" s="104">
        <v>4.21</v>
      </c>
    </row>
    <row r="152" spans="2:4" x14ac:dyDescent="0.25">
      <c r="B152" s="92" t="s">
        <v>430</v>
      </c>
      <c r="C152" s="102" t="s">
        <v>4</v>
      </c>
      <c r="D152" s="104">
        <v>2.59</v>
      </c>
    </row>
    <row r="153" spans="2:4" x14ac:dyDescent="0.25">
      <c r="B153" s="92" t="s">
        <v>431</v>
      </c>
      <c r="C153" s="102" t="s">
        <v>4</v>
      </c>
      <c r="D153" s="104">
        <v>3.38</v>
      </c>
    </row>
    <row r="154" spans="2:4" x14ac:dyDescent="0.25">
      <c r="B154" s="92" t="s">
        <v>432</v>
      </c>
      <c r="C154" s="102" t="s">
        <v>4</v>
      </c>
      <c r="D154" s="104">
        <v>3.94</v>
      </c>
    </row>
    <row r="155" spans="2:4" x14ac:dyDescent="0.25">
      <c r="B155" s="92" t="s">
        <v>433</v>
      </c>
      <c r="C155" s="102" t="s">
        <v>4</v>
      </c>
      <c r="D155" s="104">
        <v>4.21</v>
      </c>
    </row>
    <row r="156" spans="2:4" x14ac:dyDescent="0.25">
      <c r="B156" s="92" t="s">
        <v>434</v>
      </c>
      <c r="C156" s="102" t="s">
        <v>4</v>
      </c>
      <c r="D156" s="104">
        <v>2.59</v>
      </c>
    </row>
    <row r="157" spans="2:4" x14ac:dyDescent="0.25">
      <c r="B157" s="92" t="s">
        <v>435</v>
      </c>
      <c r="C157" s="102" t="s">
        <v>4</v>
      </c>
      <c r="D157" s="104">
        <v>3.38</v>
      </c>
    </row>
    <row r="158" spans="2:4" x14ac:dyDescent="0.25">
      <c r="B158" s="92" t="s">
        <v>436</v>
      </c>
      <c r="C158" s="102" t="s">
        <v>4</v>
      </c>
      <c r="D158" s="104">
        <v>3.94</v>
      </c>
    </row>
    <row r="159" spans="2:4" x14ac:dyDescent="0.25">
      <c r="B159" s="92" t="s">
        <v>437</v>
      </c>
      <c r="C159" s="102" t="s">
        <v>4</v>
      </c>
      <c r="D159" s="104">
        <v>4.21</v>
      </c>
    </row>
    <row r="160" spans="2:4" x14ac:dyDescent="0.25">
      <c r="B160" s="91" t="s">
        <v>327</v>
      </c>
      <c r="C160" s="102" t="s">
        <v>4</v>
      </c>
      <c r="D160" s="104">
        <v>0.95</v>
      </c>
    </row>
    <row r="161" spans="2:4" x14ac:dyDescent="0.25">
      <c r="B161" s="91" t="s">
        <v>328</v>
      </c>
      <c r="C161" s="102" t="s">
        <v>4</v>
      </c>
      <c r="D161" s="104">
        <v>0.95</v>
      </c>
    </row>
    <row r="162" spans="2:4" x14ac:dyDescent="0.25">
      <c r="B162" s="91" t="s">
        <v>329</v>
      </c>
      <c r="C162" s="102" t="s">
        <v>4</v>
      </c>
      <c r="D162" s="104">
        <v>0.95</v>
      </c>
    </row>
    <row r="163" spans="2:4" x14ac:dyDescent="0.25">
      <c r="B163" s="91" t="s">
        <v>330</v>
      </c>
      <c r="C163" s="102" t="s">
        <v>4</v>
      </c>
      <c r="D163" s="104">
        <v>1.1100000000000001</v>
      </c>
    </row>
    <row r="164" spans="2:4" x14ac:dyDescent="0.25">
      <c r="B164" s="91" t="s">
        <v>331</v>
      </c>
      <c r="C164" s="102" t="s">
        <v>4</v>
      </c>
      <c r="D164" s="104">
        <v>1.23</v>
      </c>
    </row>
    <row r="165" spans="2:4" x14ac:dyDescent="0.25">
      <c r="B165" s="91" t="s">
        <v>332</v>
      </c>
      <c r="C165" s="102" t="s">
        <v>4</v>
      </c>
      <c r="D165" s="104">
        <v>0.75</v>
      </c>
    </row>
    <row r="166" spans="2:4" x14ac:dyDescent="0.25">
      <c r="B166" s="91" t="s">
        <v>333</v>
      </c>
      <c r="C166" s="102" t="s">
        <v>4</v>
      </c>
      <c r="D166" s="104">
        <v>0.66</v>
      </c>
    </row>
    <row r="167" spans="2:4" x14ac:dyDescent="0.25">
      <c r="B167" s="91" t="s">
        <v>334</v>
      </c>
      <c r="C167" s="102" t="s">
        <v>4</v>
      </c>
      <c r="D167" s="104">
        <v>1.29</v>
      </c>
    </row>
    <row r="168" spans="2:4" x14ac:dyDescent="0.25">
      <c r="B168" s="91" t="s">
        <v>335</v>
      </c>
      <c r="C168" s="102" t="s">
        <v>4</v>
      </c>
      <c r="D168" s="104">
        <v>0.95</v>
      </c>
    </row>
    <row r="169" spans="2:4" x14ac:dyDescent="0.25">
      <c r="B169" s="91" t="s">
        <v>336</v>
      </c>
      <c r="C169" s="102" t="s">
        <v>4</v>
      </c>
      <c r="D169" s="104">
        <v>0.95</v>
      </c>
    </row>
    <row r="170" spans="2:4" x14ac:dyDescent="0.25">
      <c r="B170" s="91" t="s">
        <v>337</v>
      </c>
      <c r="C170" s="102" t="s">
        <v>4</v>
      </c>
      <c r="D170" s="104">
        <v>0.95</v>
      </c>
    </row>
    <row r="171" spans="2:4" x14ac:dyDescent="0.25">
      <c r="B171" s="91" t="s">
        <v>338</v>
      </c>
      <c r="C171" s="102" t="s">
        <v>4</v>
      </c>
      <c r="D171" s="104">
        <v>1.1100000000000001</v>
      </c>
    </row>
    <row r="172" spans="2:4" x14ac:dyDescent="0.25">
      <c r="B172" s="91" t="s">
        <v>339</v>
      </c>
      <c r="C172" s="102" t="s">
        <v>4</v>
      </c>
      <c r="D172" s="104">
        <v>1.23</v>
      </c>
    </row>
    <row r="173" spans="2:4" x14ac:dyDescent="0.25">
      <c r="B173" s="91" t="s">
        <v>340</v>
      </c>
      <c r="C173" s="102" t="s">
        <v>4</v>
      </c>
      <c r="D173" s="104">
        <v>0.75</v>
      </c>
    </row>
    <row r="174" spans="2:4" x14ac:dyDescent="0.25">
      <c r="B174" s="91" t="s">
        <v>341</v>
      </c>
      <c r="C174" s="102" t="s">
        <v>4</v>
      </c>
      <c r="D174" s="104">
        <v>0.66</v>
      </c>
    </row>
    <row r="175" spans="2:4" x14ac:dyDescent="0.25">
      <c r="B175" s="91" t="s">
        <v>342</v>
      </c>
      <c r="C175" s="102" t="s">
        <v>4</v>
      </c>
      <c r="D175" s="104">
        <v>1.29</v>
      </c>
    </row>
    <row r="176" spans="2:4" x14ac:dyDescent="0.25">
      <c r="B176" s="92" t="s">
        <v>536</v>
      </c>
      <c r="C176" s="102" t="s">
        <v>453</v>
      </c>
      <c r="D176" s="104">
        <v>9.8000000000000007</v>
      </c>
    </row>
    <row r="177" spans="2:4" x14ac:dyDescent="0.25">
      <c r="B177" s="92" t="s">
        <v>537</v>
      </c>
      <c r="C177" s="102" t="s">
        <v>453</v>
      </c>
      <c r="D177" s="104">
        <v>12.25</v>
      </c>
    </row>
    <row r="178" spans="2:4" x14ac:dyDescent="0.25">
      <c r="B178" s="92" t="s">
        <v>538</v>
      </c>
      <c r="C178" s="102" t="s">
        <v>453</v>
      </c>
      <c r="D178" s="104">
        <v>14.7</v>
      </c>
    </row>
    <row r="179" spans="2:4" x14ac:dyDescent="0.25">
      <c r="B179" s="92" t="s">
        <v>539</v>
      </c>
      <c r="C179" s="102" t="s">
        <v>453</v>
      </c>
      <c r="D179" s="104">
        <v>18</v>
      </c>
    </row>
    <row r="180" spans="2:4" x14ac:dyDescent="0.25">
      <c r="B180" s="92" t="s">
        <v>540</v>
      </c>
      <c r="C180" s="102" t="s">
        <v>453</v>
      </c>
      <c r="D180" s="104">
        <v>22.5</v>
      </c>
    </row>
    <row r="181" spans="2:4" x14ac:dyDescent="0.25">
      <c r="B181" s="92" t="s">
        <v>541</v>
      </c>
      <c r="C181" s="102" t="s">
        <v>453</v>
      </c>
      <c r="D181" s="104">
        <v>27</v>
      </c>
    </row>
    <row r="182" spans="2:4" x14ac:dyDescent="0.25">
      <c r="B182" s="92" t="s">
        <v>542</v>
      </c>
      <c r="C182" s="102" t="s">
        <v>453</v>
      </c>
      <c r="D182" s="104">
        <v>31.5</v>
      </c>
    </row>
    <row r="183" spans="2:4" x14ac:dyDescent="0.25">
      <c r="B183" s="92" t="s">
        <v>544</v>
      </c>
      <c r="C183" s="102" t="s">
        <v>453</v>
      </c>
      <c r="D183" s="104">
        <v>36</v>
      </c>
    </row>
    <row r="184" spans="2:4" x14ac:dyDescent="0.25">
      <c r="B184" s="92" t="s">
        <v>545</v>
      </c>
      <c r="C184" s="102" t="s">
        <v>453</v>
      </c>
      <c r="D184" s="104">
        <v>40.5</v>
      </c>
    </row>
    <row r="185" spans="2:4" x14ac:dyDescent="0.25">
      <c r="B185" s="92" t="s">
        <v>546</v>
      </c>
      <c r="C185" s="102" t="s">
        <v>453</v>
      </c>
      <c r="D185" s="104">
        <v>45</v>
      </c>
    </row>
    <row r="186" spans="2:4" x14ac:dyDescent="0.25">
      <c r="B186" s="105" t="s">
        <v>577</v>
      </c>
      <c r="C186" s="102" t="s">
        <v>4</v>
      </c>
      <c r="D186" s="104">
        <v>2.2000000000000002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40</vt:i4>
      </vt:variant>
    </vt:vector>
  </HeadingPairs>
  <TitlesOfParts>
    <vt:vector size="49" baseType="lpstr">
      <vt:lpstr>Analisi_Voci</vt:lpstr>
      <vt:lpstr>Titolo_descrizione</vt:lpstr>
      <vt:lpstr>Voce_prezzo</vt:lpstr>
      <vt:lpstr>Var_voce</vt:lpstr>
      <vt:lpstr>Caratteristiche_materiali</vt:lpstr>
      <vt:lpstr>Lavorazioni</vt:lpstr>
      <vt:lpstr>Prodotti</vt:lpstr>
      <vt:lpstr>Calcoli quant prodotti</vt:lpstr>
      <vt:lpstr>Unità misura e prezzi</vt:lpstr>
      <vt:lpstr>AD_1</vt:lpstr>
      <vt:lpstr>AD_2</vt:lpstr>
      <vt:lpstr>AD_3</vt:lpstr>
      <vt:lpstr>AD_4</vt:lpstr>
      <vt:lpstr>C_1</vt:lpstr>
      <vt:lpstr>C_2</vt:lpstr>
      <vt:lpstr>F_1</vt:lpstr>
      <vt:lpstr>F_2</vt:lpstr>
      <vt:lpstr>G_1</vt:lpstr>
      <vt:lpstr>G_2</vt:lpstr>
      <vt:lpstr>I_1</vt:lpstr>
      <vt:lpstr>I_2</vt:lpstr>
      <vt:lpstr>I_3</vt:lpstr>
      <vt:lpstr>NOP</vt:lpstr>
      <vt:lpstr>NTAS</vt:lpstr>
      <vt:lpstr>R_1</vt:lpstr>
      <vt:lpstr>R_2</vt:lpstr>
      <vt:lpstr>RA_1</vt:lpstr>
      <vt:lpstr>RA_2</vt:lpstr>
      <vt:lpstr>RA_3</vt:lpstr>
      <vt:lpstr>RA_4</vt:lpstr>
      <vt:lpstr>Reg</vt:lpstr>
      <vt:lpstr>RG</vt:lpstr>
      <vt:lpstr>SP_AIR</vt:lpstr>
      <vt:lpstr>SP_AIRB</vt:lpstr>
      <vt:lpstr>SP_AIRPL</vt:lpstr>
      <vt:lpstr>SP_AIRTE</vt:lpstr>
      <vt:lpstr>SP_AIRW</vt:lpstr>
      <vt:lpstr>SP_AIRWP</vt:lpstr>
      <vt:lpstr>SP_ECO</vt:lpstr>
      <vt:lpstr>T_1</vt:lpstr>
      <vt:lpstr>T_2</vt:lpstr>
      <vt:lpstr>TAS_COR</vt:lpstr>
      <vt:lpstr>TT_1</vt:lpstr>
      <vt:lpstr>TT_2</vt:lpstr>
      <vt:lpstr>TT_3</vt:lpstr>
      <vt:lpstr>TT_4</vt:lpstr>
      <vt:lpstr>TT_5</vt:lpstr>
      <vt:lpstr>TT_6</vt:lpstr>
      <vt:lpstr>VAR_VOCE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KERAKOLL SPA</dc:creator>
  <cp:lastModifiedBy>Stefania Pitzianti</cp:lastModifiedBy>
  <cp:lastPrinted>2023-10-11T09:24:23Z</cp:lastPrinted>
  <dcterms:created xsi:type="dcterms:W3CDTF">2001-10-24T09:17:16Z</dcterms:created>
  <dcterms:modified xsi:type="dcterms:W3CDTF">2025-07-30T14:10:02Z</dcterms:modified>
</cp:coreProperties>
</file>